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45962</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45962</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45962</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45962</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45962</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45962</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45962</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45962</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45962</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55796-2021</t>
        </is>
      </c>
      <c r="B11" s="1" t="n">
        <v>44476</v>
      </c>
      <c r="C11" s="1" t="n">
        <v>45962</v>
      </c>
      <c r="D11" t="inlineStr">
        <is>
          <t>SKÅNE LÄN</t>
        </is>
      </c>
      <c r="E11" t="inlineStr">
        <is>
          <t>HÄSSLEHOLM</t>
        </is>
      </c>
      <c r="G11" t="n">
        <v>14.7</v>
      </c>
      <c r="H11" t="n">
        <v>0</v>
      </c>
      <c r="I11" t="n">
        <v>7</v>
      </c>
      <c r="J11" t="n">
        <v>1</v>
      </c>
      <c r="K11" t="n">
        <v>1</v>
      </c>
      <c r="L11" t="n">
        <v>0</v>
      </c>
      <c r="M11" t="n">
        <v>0</v>
      </c>
      <c r="N11" t="n">
        <v>0</v>
      </c>
      <c r="O11" t="n">
        <v>2</v>
      </c>
      <c r="P11" t="n">
        <v>1</v>
      </c>
      <c r="Q11" t="n">
        <v>9</v>
      </c>
      <c r="R11" s="2" t="inlineStr">
        <is>
          <t>Vedlavklubba
Bokvårtlav
Barkkornlav
Bokfjädermossa
Fällmossa
Havstulpanlav
Hässleklocka
Klippfrullania
Rostfläck</t>
        </is>
      </c>
      <c r="S11">
        <f>HYPERLINK("https://klasma.github.io/Logging_1293/artfynd/A 55796-2021 artfynd.xlsx", "A 55796-2021")</f>
        <v/>
      </c>
      <c r="T11">
        <f>HYPERLINK("https://klasma.github.io/Logging_1293/kartor/A 55796-2021 karta.png", "A 55796-2021")</f>
        <v/>
      </c>
      <c r="V11">
        <f>HYPERLINK("https://klasma.github.io/Logging_1293/klagomål/A 55796-2021 FSC-klagomål.docx", "A 55796-2021")</f>
        <v/>
      </c>
      <c r="W11">
        <f>HYPERLINK("https://klasma.github.io/Logging_1293/klagomålsmail/A 55796-2021 FSC-klagomål mail.docx", "A 55796-2021")</f>
        <v/>
      </c>
      <c r="X11">
        <f>HYPERLINK("https://klasma.github.io/Logging_1293/tillsyn/A 55796-2021 tillsynsbegäran.docx", "A 55796-2021")</f>
        <v/>
      </c>
      <c r="Y11">
        <f>HYPERLINK("https://klasma.github.io/Logging_1293/tillsynsmail/A 55796-2021 tillsynsbegäran mail.docx", "A 55796-2021")</f>
        <v/>
      </c>
    </row>
    <row r="12" ht="15" customHeight="1">
      <c r="A12" t="inlineStr">
        <is>
          <t>A 53161-2023</t>
        </is>
      </c>
      <c r="B12" s="1" t="n">
        <v>45222</v>
      </c>
      <c r="C12" s="1" t="n">
        <v>45962</v>
      </c>
      <c r="D12" t="inlineStr">
        <is>
          <t>SKÅNE LÄN</t>
        </is>
      </c>
      <c r="E12" t="inlineStr">
        <is>
          <t>KRISTIANSTAD</t>
        </is>
      </c>
      <c r="G12" t="n">
        <v>4.3</v>
      </c>
      <c r="H12" t="n">
        <v>1</v>
      </c>
      <c r="I12" t="n">
        <v>4</v>
      </c>
      <c r="J12" t="n">
        <v>2</v>
      </c>
      <c r="K12" t="n">
        <v>1</v>
      </c>
      <c r="L12" t="n">
        <v>1</v>
      </c>
      <c r="M12" t="n">
        <v>0</v>
      </c>
      <c r="N12" t="n">
        <v>0</v>
      </c>
      <c r="O12" t="n">
        <v>4</v>
      </c>
      <c r="P12" t="n">
        <v>2</v>
      </c>
      <c r="Q12" t="n">
        <v>9</v>
      </c>
      <c r="R12" s="2" t="inlineStr">
        <is>
          <t>Grönticka
Silkesspindling
Grå kantarell
Gulprickig vaxskivling
Kruskantarell
Myskmadra
Rutbläcksvamp
Vårärt
Blåsippa</t>
        </is>
      </c>
      <c r="S12">
        <f>HYPERLINK("https://klasma.github.io/Logging_1290/artfynd/A 53161-2023 artfynd.xlsx", "A 53161-2023")</f>
        <v/>
      </c>
      <c r="T12">
        <f>HYPERLINK("https://klasma.github.io/Logging_1290/kartor/A 53161-2023 karta.png", "A 53161-2023")</f>
        <v/>
      </c>
      <c r="V12">
        <f>HYPERLINK("https://klasma.github.io/Logging_1290/klagomål/A 53161-2023 FSC-klagomål.docx", "A 53161-2023")</f>
        <v/>
      </c>
      <c r="W12">
        <f>HYPERLINK("https://klasma.github.io/Logging_1290/klagomålsmail/A 53161-2023 FSC-klagomål mail.docx", "A 53161-2023")</f>
        <v/>
      </c>
      <c r="X12">
        <f>HYPERLINK("https://klasma.github.io/Logging_1290/tillsyn/A 53161-2023 tillsynsbegäran.docx", "A 53161-2023")</f>
        <v/>
      </c>
      <c r="Y12">
        <f>HYPERLINK("https://klasma.github.io/Logging_1290/tillsynsmail/A 53161-2023 tillsynsbegäran mail.docx", "A 53161-2023")</f>
        <v/>
      </c>
    </row>
    <row r="13" ht="15" customHeight="1">
      <c r="A13" t="inlineStr">
        <is>
          <t>A 32268-2022</t>
        </is>
      </c>
      <c r="B13" s="1" t="n">
        <v>44781</v>
      </c>
      <c r="C13" s="1" t="n">
        <v>45962</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43497-2025</t>
        </is>
      </c>
      <c r="B14" s="1" t="n">
        <v>45911</v>
      </c>
      <c r="C14" s="1" t="n">
        <v>45962</v>
      </c>
      <c r="D14" t="inlineStr">
        <is>
          <t>SKÅNE LÄN</t>
        </is>
      </c>
      <c r="E14" t="inlineStr">
        <is>
          <t>KRISTIANSTAD</t>
        </is>
      </c>
      <c r="G14" t="n">
        <v>3</v>
      </c>
      <c r="H14" t="n">
        <v>0</v>
      </c>
      <c r="I14" t="n">
        <v>3</v>
      </c>
      <c r="J14" t="n">
        <v>4</v>
      </c>
      <c r="K14" t="n">
        <v>1</v>
      </c>
      <c r="L14" t="n">
        <v>0</v>
      </c>
      <c r="M14" t="n">
        <v>0</v>
      </c>
      <c r="N14" t="n">
        <v>0</v>
      </c>
      <c r="O14" t="n">
        <v>5</v>
      </c>
      <c r="P14" t="n">
        <v>1</v>
      </c>
      <c r="Q14" t="n">
        <v>8</v>
      </c>
      <c r="R14" s="2" t="inlineStr">
        <is>
          <t>Bukspolsnäcka
Bokvårtlav
Orangepudrad klotterlav
Skogsveronika
Tandsnäcka
Platt fjädermossa
Strutbräken
Trubbfjädermossa</t>
        </is>
      </c>
      <c r="S14">
        <f>HYPERLINK("https://klasma.github.io/Logging_1290/artfynd/A 43497-2025 artfynd.xlsx", "A 43497-2025")</f>
        <v/>
      </c>
      <c r="T14">
        <f>HYPERLINK("https://klasma.github.io/Logging_1290/kartor/A 43497-2025 karta.png", "A 43497-2025")</f>
        <v/>
      </c>
      <c r="V14">
        <f>HYPERLINK("https://klasma.github.io/Logging_1290/klagomål/A 43497-2025 FSC-klagomål.docx", "A 43497-2025")</f>
        <v/>
      </c>
      <c r="W14">
        <f>HYPERLINK("https://klasma.github.io/Logging_1290/klagomålsmail/A 43497-2025 FSC-klagomål mail.docx", "A 43497-2025")</f>
        <v/>
      </c>
      <c r="X14">
        <f>HYPERLINK("https://klasma.github.io/Logging_1290/tillsyn/A 43497-2025 tillsynsbegäran.docx", "A 43497-2025")</f>
        <v/>
      </c>
      <c r="Y14">
        <f>HYPERLINK("https://klasma.github.io/Logging_1290/tillsynsmail/A 43497-2025 tillsynsbegäran mail.docx", "A 43497-2025")</f>
        <v/>
      </c>
    </row>
    <row r="15" ht="15" customHeight="1">
      <c r="A15" t="inlineStr">
        <is>
          <t>A 18969-2024</t>
        </is>
      </c>
      <c r="B15" s="1" t="n">
        <v>45427</v>
      </c>
      <c r="C15" s="1" t="n">
        <v>45962</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45962</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45962</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47608-2022</t>
        </is>
      </c>
      <c r="B18" s="1" t="n">
        <v>44852</v>
      </c>
      <c r="C18" s="1" t="n">
        <v>45962</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45962</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45962</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32389-2023</t>
        </is>
      </c>
      <c r="B21" s="1" t="n">
        <v>45120</v>
      </c>
      <c r="C21" s="1" t="n">
        <v>45962</v>
      </c>
      <c r="D21" t="inlineStr">
        <is>
          <t>SKÅNE LÄN</t>
        </is>
      </c>
      <c r="E21" t="inlineStr">
        <is>
          <t>TOMELILLA</t>
        </is>
      </c>
      <c r="F21" t="inlineStr">
        <is>
          <t>Övriga Aktiebolag</t>
        </is>
      </c>
      <c r="G21" t="n">
        <v>10.8</v>
      </c>
      <c r="H21" t="n">
        <v>6</v>
      </c>
      <c r="I21" t="n">
        <v>1</v>
      </c>
      <c r="J21" t="n">
        <v>2</v>
      </c>
      <c r="K21" t="n">
        <v>0</v>
      </c>
      <c r="L21" t="n">
        <v>1</v>
      </c>
      <c r="M21" t="n">
        <v>0</v>
      </c>
      <c r="N21" t="n">
        <v>0</v>
      </c>
      <c r="O21" t="n">
        <v>3</v>
      </c>
      <c r="P21" t="n">
        <v>1</v>
      </c>
      <c r="Q21" t="n">
        <v>7</v>
      </c>
      <c r="R21" s="2" t="inlineStr">
        <is>
          <t>Större musöra
Barbastell
Brunlångöra
Tibast
Dvärgpipistrell
Större brunfladdermus
Vattenfladdermus</t>
        </is>
      </c>
      <c r="S21">
        <f>HYPERLINK("https://klasma.github.io/Logging_1270/artfynd/A 32389-2023 artfynd.xlsx", "A 32389-2023")</f>
        <v/>
      </c>
      <c r="T21">
        <f>HYPERLINK("https://klasma.github.io/Logging_1270/kartor/A 32389-2023 karta.png", "A 32389-2023")</f>
        <v/>
      </c>
      <c r="V21">
        <f>HYPERLINK("https://klasma.github.io/Logging_1270/klagomål/A 32389-2023 FSC-klagomål.docx", "A 32389-2023")</f>
        <v/>
      </c>
      <c r="W21">
        <f>HYPERLINK("https://klasma.github.io/Logging_1270/klagomålsmail/A 32389-2023 FSC-klagomål mail.docx", "A 32389-2023")</f>
        <v/>
      </c>
      <c r="X21">
        <f>HYPERLINK("https://klasma.github.io/Logging_1270/tillsyn/A 32389-2023 tillsynsbegäran.docx", "A 32389-2023")</f>
        <v/>
      </c>
      <c r="Y21">
        <f>HYPERLINK("https://klasma.github.io/Logging_1270/tillsynsmail/A 32389-2023 tillsynsbegäran mail.docx", "A 32389-2023")</f>
        <v/>
      </c>
    </row>
    <row r="22" ht="15" customHeight="1">
      <c r="A22" t="inlineStr">
        <is>
          <t>A 17778-2025</t>
        </is>
      </c>
      <c r="B22" s="1" t="n">
        <v>45758</v>
      </c>
      <c r="C22" s="1" t="n">
        <v>45962</v>
      </c>
      <c r="D22" t="inlineStr">
        <is>
          <t>SKÅNE LÄN</t>
        </is>
      </c>
      <c r="E22" t="inlineStr">
        <is>
          <t>SJÖBO</t>
        </is>
      </c>
      <c r="G22" t="n">
        <v>12.5</v>
      </c>
      <c r="H22" t="n">
        <v>2</v>
      </c>
      <c r="I22" t="n">
        <v>0</v>
      </c>
      <c r="J22" t="n">
        <v>4</v>
      </c>
      <c r="K22" t="n">
        <v>1</v>
      </c>
      <c r="L22" t="n">
        <v>0</v>
      </c>
      <c r="M22" t="n">
        <v>0</v>
      </c>
      <c r="N22" t="n">
        <v>0</v>
      </c>
      <c r="O22" t="n">
        <v>5</v>
      </c>
      <c r="P22" t="n">
        <v>1</v>
      </c>
      <c r="Q22" t="n">
        <v>7</v>
      </c>
      <c r="R22" s="2" t="inlineStr">
        <is>
          <t>Småvänderot
Granspira
Majviva
Skogslysing
Ängsstarr
Dactylorhiza incarnata subsp. incarnata
Dubbelnycklar</t>
        </is>
      </c>
      <c r="S22">
        <f>HYPERLINK("https://klasma.github.io/Logging_1265/artfynd/A 17778-2025 artfynd.xlsx", "A 17778-2025")</f>
        <v/>
      </c>
      <c r="T22">
        <f>HYPERLINK("https://klasma.github.io/Logging_1265/kartor/A 17778-2025 karta.png", "A 17778-2025")</f>
        <v/>
      </c>
      <c r="V22">
        <f>HYPERLINK("https://klasma.github.io/Logging_1265/klagomål/A 17778-2025 FSC-klagomål.docx", "A 17778-2025")</f>
        <v/>
      </c>
      <c r="W22">
        <f>HYPERLINK("https://klasma.github.io/Logging_1265/klagomålsmail/A 17778-2025 FSC-klagomål mail.docx", "A 17778-2025")</f>
        <v/>
      </c>
      <c r="X22">
        <f>HYPERLINK("https://klasma.github.io/Logging_1265/tillsyn/A 17778-2025 tillsynsbegäran.docx", "A 17778-2025")</f>
        <v/>
      </c>
      <c r="Y22">
        <f>HYPERLINK("https://klasma.github.io/Logging_1265/tillsynsmail/A 17778-2025 tillsynsbegäran mail.docx", "A 17778-2025")</f>
        <v/>
      </c>
    </row>
    <row r="23" ht="15" customHeight="1">
      <c r="A23" t="inlineStr">
        <is>
          <t>A 10694-2021</t>
        </is>
      </c>
      <c r="B23" s="1" t="n">
        <v>44258</v>
      </c>
      <c r="C23" s="1" t="n">
        <v>45962</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9599-2025</t>
        </is>
      </c>
      <c r="B24" s="1" t="n">
        <v>45715</v>
      </c>
      <c r="C24" s="1" t="n">
        <v>45962</v>
      </c>
      <c r="D24" t="inlineStr">
        <is>
          <t>SKÅNE LÄN</t>
        </is>
      </c>
      <c r="E24" t="inlineStr">
        <is>
          <t>KRISTIANSTAD</t>
        </is>
      </c>
      <c r="G24" t="n">
        <v>25.7</v>
      </c>
      <c r="H24" t="n">
        <v>0</v>
      </c>
      <c r="I24" t="n">
        <v>2</v>
      </c>
      <c r="J24" t="n">
        <v>3</v>
      </c>
      <c r="K24" t="n">
        <v>1</v>
      </c>
      <c r="L24" t="n">
        <v>0</v>
      </c>
      <c r="M24" t="n">
        <v>0</v>
      </c>
      <c r="N24" t="n">
        <v>0</v>
      </c>
      <c r="O24" t="n">
        <v>4</v>
      </c>
      <c r="P24" t="n">
        <v>1</v>
      </c>
      <c r="Q24" t="n">
        <v>6</v>
      </c>
      <c r="R24" s="2" t="inlineStr">
        <is>
          <t>Silkesspindling
Bokkantlav
Bokvårtlav
Lövfagerspindling
Fällmossa
Rutbläcksvamp</t>
        </is>
      </c>
      <c r="S24">
        <f>HYPERLINK("https://klasma.github.io/Logging_1290/artfynd/A 9599-2025 artfynd.xlsx", "A 9599-2025")</f>
        <v/>
      </c>
      <c r="T24">
        <f>HYPERLINK("https://klasma.github.io/Logging_1290/kartor/A 9599-2025 karta.png", "A 9599-2025")</f>
        <v/>
      </c>
      <c r="V24">
        <f>HYPERLINK("https://klasma.github.io/Logging_1290/klagomål/A 9599-2025 FSC-klagomål.docx", "A 9599-2025")</f>
        <v/>
      </c>
      <c r="W24">
        <f>HYPERLINK("https://klasma.github.io/Logging_1290/klagomålsmail/A 9599-2025 FSC-klagomål mail.docx", "A 9599-2025")</f>
        <v/>
      </c>
      <c r="X24">
        <f>HYPERLINK("https://klasma.github.io/Logging_1290/tillsyn/A 9599-2025 tillsynsbegäran.docx", "A 9599-2025")</f>
        <v/>
      </c>
      <c r="Y24">
        <f>HYPERLINK("https://klasma.github.io/Logging_1290/tillsynsmail/A 9599-2025 tillsynsbegäran mail.docx", "A 9599-2025")</f>
        <v/>
      </c>
    </row>
    <row r="25" ht="15" customHeight="1">
      <c r="A25" t="inlineStr">
        <is>
          <t>A 46341-2025</t>
        </is>
      </c>
      <c r="B25" s="1" t="n">
        <v>45925.46724537037</v>
      </c>
      <c r="C25" s="1" t="n">
        <v>45962</v>
      </c>
      <c r="D25" t="inlineStr">
        <is>
          <t>SKÅNE LÄN</t>
        </is>
      </c>
      <c r="E25" t="inlineStr">
        <is>
          <t>KRISTIANSTAD</t>
        </is>
      </c>
      <c r="G25" t="n">
        <v>2</v>
      </c>
      <c r="H25" t="n">
        <v>5</v>
      </c>
      <c r="I25" t="n">
        <v>1</v>
      </c>
      <c r="J25" t="n">
        <v>1</v>
      </c>
      <c r="K25" t="n">
        <v>0</v>
      </c>
      <c r="L25" t="n">
        <v>1</v>
      </c>
      <c r="M25" t="n">
        <v>0</v>
      </c>
      <c r="N25" t="n">
        <v>0</v>
      </c>
      <c r="O25" t="n">
        <v>2</v>
      </c>
      <c r="P25" t="n">
        <v>1</v>
      </c>
      <c r="Q25" t="n">
        <v>6</v>
      </c>
      <c r="R25" s="2" t="inlineStr">
        <is>
          <t>Grönfink
Spillkråka
Lundbräsma
Kungsfågel
Blåsippa
Gullviva</t>
        </is>
      </c>
      <c r="S25">
        <f>HYPERLINK("https://klasma.github.io/Logging_1290/artfynd/A 46341-2025 artfynd.xlsx", "A 46341-2025")</f>
        <v/>
      </c>
      <c r="T25">
        <f>HYPERLINK("https://klasma.github.io/Logging_1290/kartor/A 46341-2025 karta.png", "A 46341-2025")</f>
        <v/>
      </c>
      <c r="V25">
        <f>HYPERLINK("https://klasma.github.io/Logging_1290/klagomål/A 46341-2025 FSC-klagomål.docx", "A 46341-2025")</f>
        <v/>
      </c>
      <c r="W25">
        <f>HYPERLINK("https://klasma.github.io/Logging_1290/klagomålsmail/A 46341-2025 FSC-klagomål mail.docx", "A 46341-2025")</f>
        <v/>
      </c>
      <c r="X25">
        <f>HYPERLINK("https://klasma.github.io/Logging_1290/tillsyn/A 46341-2025 tillsynsbegäran.docx", "A 46341-2025")</f>
        <v/>
      </c>
      <c r="Y25">
        <f>HYPERLINK("https://klasma.github.io/Logging_1290/tillsynsmail/A 46341-2025 tillsynsbegäran mail.docx", "A 46341-2025")</f>
        <v/>
      </c>
      <c r="Z25">
        <f>HYPERLINK("https://klasma.github.io/Logging_1290/fåglar/A 46341-2025 prioriterade fågelarter.docx", "A 46341-2025")</f>
        <v/>
      </c>
    </row>
    <row r="26" ht="15" customHeight="1">
      <c r="A26" t="inlineStr">
        <is>
          <t>A 34184-2025</t>
        </is>
      </c>
      <c r="B26" s="1" t="n">
        <v>45844</v>
      </c>
      <c r="C26" s="1" t="n">
        <v>45962</v>
      </c>
      <c r="D26" t="inlineStr">
        <is>
          <t>SKÅNE LÄN</t>
        </is>
      </c>
      <c r="E26" t="inlineStr">
        <is>
          <t>OSBY</t>
        </is>
      </c>
      <c r="F26" t="inlineStr">
        <is>
          <t>Naturvårdsverket</t>
        </is>
      </c>
      <c r="G26" t="n">
        <v>12.4</v>
      </c>
      <c r="H26" t="n">
        <v>4</v>
      </c>
      <c r="I26" t="n">
        <v>1</v>
      </c>
      <c r="J26" t="n">
        <v>4</v>
      </c>
      <c r="K26" t="n">
        <v>0</v>
      </c>
      <c r="L26" t="n">
        <v>0</v>
      </c>
      <c r="M26" t="n">
        <v>0</v>
      </c>
      <c r="N26" t="n">
        <v>0</v>
      </c>
      <c r="O26" t="n">
        <v>4</v>
      </c>
      <c r="P26" t="n">
        <v>0</v>
      </c>
      <c r="Q26" t="n">
        <v>6</v>
      </c>
      <c r="R26" s="2" t="inlineStr">
        <is>
          <t>Entita
Skogshare
Spillkråka
Talltita
Blåmossa
Kungsfågel</t>
        </is>
      </c>
      <c r="S26">
        <f>HYPERLINK("https://klasma.github.io/Logging_1273/artfynd/A 34184-2025 artfynd.xlsx", "A 34184-2025")</f>
        <v/>
      </c>
      <c r="T26">
        <f>HYPERLINK("https://klasma.github.io/Logging_1273/kartor/A 34184-2025 karta.png", "A 34184-2025")</f>
        <v/>
      </c>
      <c r="V26">
        <f>HYPERLINK("https://klasma.github.io/Logging_1273/klagomål/A 34184-2025 FSC-klagomål.docx", "A 34184-2025")</f>
        <v/>
      </c>
      <c r="W26">
        <f>HYPERLINK("https://klasma.github.io/Logging_1273/klagomålsmail/A 34184-2025 FSC-klagomål mail.docx", "A 34184-2025")</f>
        <v/>
      </c>
      <c r="X26">
        <f>HYPERLINK("https://klasma.github.io/Logging_1273/tillsyn/A 34184-2025 tillsynsbegäran.docx", "A 34184-2025")</f>
        <v/>
      </c>
      <c r="Y26">
        <f>HYPERLINK("https://klasma.github.io/Logging_1273/tillsynsmail/A 34184-2025 tillsynsbegäran mail.docx", "A 34184-2025")</f>
        <v/>
      </c>
      <c r="Z26">
        <f>HYPERLINK("https://klasma.github.io/Logging_1273/fåglar/A 34184-2025 prioriterade fågelarter.docx", "A 34184-2025")</f>
        <v/>
      </c>
    </row>
    <row r="27" ht="15" customHeight="1">
      <c r="A27" t="inlineStr">
        <is>
          <t>A 18589-2022</t>
        </is>
      </c>
      <c r="B27" s="1" t="n">
        <v>44687</v>
      </c>
      <c r="C27" s="1" t="n">
        <v>45962</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45962</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14150-2023</t>
        </is>
      </c>
      <c r="B29" s="1" t="n">
        <v>45009</v>
      </c>
      <c r="C29" s="1" t="n">
        <v>45962</v>
      </c>
      <c r="D29" t="inlineStr">
        <is>
          <t>SKÅNE LÄN</t>
        </is>
      </c>
      <c r="E29" t="inlineStr">
        <is>
          <t>SVEDALA</t>
        </is>
      </c>
      <c r="G29" t="n">
        <v>2.5</v>
      </c>
      <c r="H29" t="n">
        <v>0</v>
      </c>
      <c r="I29" t="n">
        <v>4</v>
      </c>
      <c r="J29" t="n">
        <v>1</v>
      </c>
      <c r="K29" t="n">
        <v>0</v>
      </c>
      <c r="L29" t="n">
        <v>0</v>
      </c>
      <c r="M29" t="n">
        <v>0</v>
      </c>
      <c r="N29" t="n">
        <v>0</v>
      </c>
      <c r="O29" t="n">
        <v>1</v>
      </c>
      <c r="P29" t="n">
        <v>0</v>
      </c>
      <c r="Q29" t="n">
        <v>5</v>
      </c>
      <c r="R29" s="2" t="inlineStr">
        <is>
          <t>Hypoxylon petriniae
Guldlockmossa
Lönnlav
Platt fjädermossa
Tibast</t>
        </is>
      </c>
      <c r="S29">
        <f>HYPERLINK("https://klasma.github.io/Logging_1263/artfynd/A 14150-2023 artfynd.xlsx", "A 14150-2023")</f>
        <v/>
      </c>
      <c r="T29">
        <f>HYPERLINK("https://klasma.github.io/Logging_1263/kartor/A 14150-2023 karta.png", "A 14150-2023")</f>
        <v/>
      </c>
      <c r="V29">
        <f>HYPERLINK("https://klasma.github.io/Logging_1263/klagomål/A 14150-2023 FSC-klagomål.docx", "A 14150-2023")</f>
        <v/>
      </c>
      <c r="W29">
        <f>HYPERLINK("https://klasma.github.io/Logging_1263/klagomålsmail/A 14150-2023 FSC-klagomål mail.docx", "A 14150-2023")</f>
        <v/>
      </c>
      <c r="X29">
        <f>HYPERLINK("https://klasma.github.io/Logging_1263/tillsyn/A 14150-2023 tillsynsbegäran.docx", "A 14150-2023")</f>
        <v/>
      </c>
      <c r="Y29">
        <f>HYPERLINK("https://klasma.github.io/Logging_1263/tillsynsmail/A 14150-2023 tillsynsbegäran mail.docx", "A 14150-2023")</f>
        <v/>
      </c>
    </row>
    <row r="30" ht="15" customHeight="1">
      <c r="A30" t="inlineStr">
        <is>
          <t>A 20194-2024</t>
        </is>
      </c>
      <c r="B30" s="1" t="n">
        <v>45434</v>
      </c>
      <c r="C30" s="1" t="n">
        <v>45962</v>
      </c>
      <c r="D30" t="inlineStr">
        <is>
          <t>SKÅNE LÄN</t>
        </is>
      </c>
      <c r="E30" t="inlineStr">
        <is>
          <t>HÖRBY</t>
        </is>
      </c>
      <c r="G30" t="n">
        <v>4.4</v>
      </c>
      <c r="H30" t="n">
        <v>0</v>
      </c>
      <c r="I30" t="n">
        <v>2</v>
      </c>
      <c r="J30" t="n">
        <v>0</v>
      </c>
      <c r="K30" t="n">
        <v>0</v>
      </c>
      <c r="L30" t="n">
        <v>1</v>
      </c>
      <c r="M30" t="n">
        <v>2</v>
      </c>
      <c r="N30" t="n">
        <v>0</v>
      </c>
      <c r="O30" t="n">
        <v>3</v>
      </c>
      <c r="P30" t="n">
        <v>3</v>
      </c>
      <c r="Q30" t="n">
        <v>5</v>
      </c>
      <c r="R30" s="2" t="inlineStr">
        <is>
          <t>Naverlönn
Skogsalm
Ask
Scharlakansskål
Stor häxört</t>
        </is>
      </c>
      <c r="S30">
        <f>HYPERLINK("https://klasma.github.io/Logging_1266/artfynd/A 20194-2024 artfynd.xlsx", "A 20194-2024")</f>
        <v/>
      </c>
      <c r="T30">
        <f>HYPERLINK("https://klasma.github.io/Logging_1266/kartor/A 20194-2024 karta.png", "A 20194-2024")</f>
        <v/>
      </c>
      <c r="V30">
        <f>HYPERLINK("https://klasma.github.io/Logging_1266/klagomål/A 20194-2024 FSC-klagomål.docx", "A 20194-2024")</f>
        <v/>
      </c>
      <c r="W30">
        <f>HYPERLINK("https://klasma.github.io/Logging_1266/klagomålsmail/A 20194-2024 FSC-klagomål mail.docx", "A 20194-2024")</f>
        <v/>
      </c>
      <c r="X30">
        <f>HYPERLINK("https://klasma.github.io/Logging_1266/tillsyn/A 20194-2024 tillsynsbegäran.docx", "A 20194-2024")</f>
        <v/>
      </c>
      <c r="Y30">
        <f>HYPERLINK("https://klasma.github.io/Logging_1266/tillsynsmail/A 20194-2024 tillsynsbegäran mail.docx", "A 20194-2024")</f>
        <v/>
      </c>
    </row>
    <row r="31" ht="15" customHeight="1">
      <c r="A31" t="inlineStr">
        <is>
          <t>A 4059-2023</t>
        </is>
      </c>
      <c r="B31" s="1" t="n">
        <v>44952</v>
      </c>
      <c r="C31" s="1" t="n">
        <v>45962</v>
      </c>
      <c r="D31" t="inlineStr">
        <is>
          <t>SKÅNE LÄN</t>
        </is>
      </c>
      <c r="E31" t="inlineStr">
        <is>
          <t>HÄSSLEHOLM</t>
        </is>
      </c>
      <c r="G31" t="n">
        <v>2.9</v>
      </c>
      <c r="H31" t="n">
        <v>5</v>
      </c>
      <c r="I31" t="n">
        <v>0</v>
      </c>
      <c r="J31" t="n">
        <v>0</v>
      </c>
      <c r="K31" t="n">
        <v>0</v>
      </c>
      <c r="L31" t="n">
        <v>0</v>
      </c>
      <c r="M31" t="n">
        <v>0</v>
      </c>
      <c r="N31" t="n">
        <v>0</v>
      </c>
      <c r="O31" t="n">
        <v>0</v>
      </c>
      <c r="P31" t="n">
        <v>0</v>
      </c>
      <c r="Q31" t="n">
        <v>5</v>
      </c>
      <c r="R31" s="2" t="inlineStr">
        <is>
          <t>Dvärgpipistrell
Gråskimlig fladdermus
Större brunfladdermus
Trollpipistrell
Vattenfladdermus</t>
        </is>
      </c>
      <c r="S31">
        <f>HYPERLINK("https://klasma.github.io/Logging_1293/artfynd/A 4059-2023 artfynd.xlsx", "A 4059-2023")</f>
        <v/>
      </c>
      <c r="T31">
        <f>HYPERLINK("https://klasma.github.io/Logging_1293/kartor/A 4059-2023 karta.png", "A 4059-2023")</f>
        <v/>
      </c>
      <c r="V31">
        <f>HYPERLINK("https://klasma.github.io/Logging_1293/klagomål/A 4059-2023 FSC-klagomål.docx", "A 4059-2023")</f>
        <v/>
      </c>
      <c r="W31">
        <f>HYPERLINK("https://klasma.github.io/Logging_1293/klagomålsmail/A 4059-2023 FSC-klagomål mail.docx", "A 4059-2023")</f>
        <v/>
      </c>
      <c r="X31">
        <f>HYPERLINK("https://klasma.github.io/Logging_1293/tillsyn/A 4059-2023 tillsynsbegäran.docx", "A 4059-2023")</f>
        <v/>
      </c>
      <c r="Y31">
        <f>HYPERLINK("https://klasma.github.io/Logging_1293/tillsynsmail/A 4059-2023 tillsynsbegäran mail.docx", "A 4059-2023")</f>
        <v/>
      </c>
    </row>
    <row r="32" ht="15" customHeight="1">
      <c r="A32" t="inlineStr">
        <is>
          <t>A 39855-2022</t>
        </is>
      </c>
      <c r="B32" s="1" t="n">
        <v>44819</v>
      </c>
      <c r="C32" s="1" t="n">
        <v>45962</v>
      </c>
      <c r="D32" t="inlineStr">
        <is>
          <t>SKÅNE LÄN</t>
        </is>
      </c>
      <c r="E32" t="inlineStr">
        <is>
          <t>HÖRBY</t>
        </is>
      </c>
      <c r="G32" t="n">
        <v>4.2</v>
      </c>
      <c r="H32" t="n">
        <v>4</v>
      </c>
      <c r="I32" t="n">
        <v>1</v>
      </c>
      <c r="J32" t="n">
        <v>0</v>
      </c>
      <c r="K32" t="n">
        <v>0</v>
      </c>
      <c r="L32" t="n">
        <v>1</v>
      </c>
      <c r="M32" t="n">
        <v>0</v>
      </c>
      <c r="N32" t="n">
        <v>0</v>
      </c>
      <c r="O32" t="n">
        <v>1</v>
      </c>
      <c r="P32" t="n">
        <v>1</v>
      </c>
      <c r="Q32" t="n">
        <v>5</v>
      </c>
      <c r="R32" s="2" t="inlineStr">
        <is>
          <t>Ask
Skogsknipprot
Fläcknycklar
Grönvit nattviol
Blåsippa</t>
        </is>
      </c>
      <c r="S32">
        <f>HYPERLINK("https://klasma.github.io/Logging_1266/artfynd/A 39855-2022 artfynd.xlsx", "A 39855-2022")</f>
        <v/>
      </c>
      <c r="T32">
        <f>HYPERLINK("https://klasma.github.io/Logging_1266/kartor/A 39855-2022 karta.png", "A 39855-2022")</f>
        <v/>
      </c>
      <c r="V32">
        <f>HYPERLINK("https://klasma.github.io/Logging_1266/klagomål/A 39855-2022 FSC-klagomål.docx", "A 39855-2022")</f>
        <v/>
      </c>
      <c r="W32">
        <f>HYPERLINK("https://klasma.github.io/Logging_1266/klagomålsmail/A 39855-2022 FSC-klagomål mail.docx", "A 39855-2022")</f>
        <v/>
      </c>
      <c r="X32">
        <f>HYPERLINK("https://klasma.github.io/Logging_1266/tillsyn/A 39855-2022 tillsynsbegäran.docx", "A 39855-2022")</f>
        <v/>
      </c>
      <c r="Y32">
        <f>HYPERLINK("https://klasma.github.io/Logging_1266/tillsynsmail/A 39855-2022 tillsynsbegäran mail.docx", "A 39855-2022")</f>
        <v/>
      </c>
    </row>
    <row r="33" ht="15" customHeight="1">
      <c r="A33" t="inlineStr">
        <is>
          <t>A 45-2022</t>
        </is>
      </c>
      <c r="B33" s="1" t="n">
        <v>44564</v>
      </c>
      <c r="C33" s="1" t="n">
        <v>45962</v>
      </c>
      <c r="D33" t="inlineStr">
        <is>
          <t>SKÅNE LÄN</t>
        </is>
      </c>
      <c r="E33" t="inlineStr">
        <is>
          <t>SIMRISHAMN</t>
        </is>
      </c>
      <c r="F33" t="inlineStr">
        <is>
          <t>Övriga Aktiebolag</t>
        </is>
      </c>
      <c r="G33" t="n">
        <v>7.2</v>
      </c>
      <c r="H33" t="n">
        <v>0</v>
      </c>
      <c r="I33" t="n">
        <v>1</v>
      </c>
      <c r="J33" t="n">
        <v>4</v>
      </c>
      <c r="K33" t="n">
        <v>0</v>
      </c>
      <c r="L33" t="n">
        <v>0</v>
      </c>
      <c r="M33" t="n">
        <v>0</v>
      </c>
      <c r="N33" t="n">
        <v>0</v>
      </c>
      <c r="O33" t="n">
        <v>4</v>
      </c>
      <c r="P33" t="n">
        <v>0</v>
      </c>
      <c r="Q33" t="n">
        <v>5</v>
      </c>
      <c r="R33" s="2" t="inlineStr">
        <is>
          <t>Bokvårtlav
Lunglav
Mjukdån
Småjungfrukam
Stor knopplav</t>
        </is>
      </c>
      <c r="S33">
        <f>HYPERLINK("https://klasma.github.io/Logging_1291/artfynd/A 45-2022 artfynd.xlsx", "A 45-2022")</f>
        <v/>
      </c>
      <c r="T33">
        <f>HYPERLINK("https://klasma.github.io/Logging_1291/kartor/A 45-2022 karta.png", "A 45-2022")</f>
        <v/>
      </c>
      <c r="V33">
        <f>HYPERLINK("https://klasma.github.io/Logging_1291/klagomål/A 45-2022 FSC-klagomål.docx", "A 45-2022")</f>
        <v/>
      </c>
      <c r="W33">
        <f>HYPERLINK("https://klasma.github.io/Logging_1291/klagomålsmail/A 45-2022 FSC-klagomål mail.docx", "A 45-2022")</f>
        <v/>
      </c>
      <c r="X33">
        <f>HYPERLINK("https://klasma.github.io/Logging_1291/tillsyn/A 45-2022 tillsynsbegäran.docx", "A 45-2022")</f>
        <v/>
      </c>
      <c r="Y33">
        <f>HYPERLINK("https://klasma.github.io/Logging_1291/tillsynsmail/A 45-2022 tillsynsbegäran mail.docx", "A 45-2022")</f>
        <v/>
      </c>
    </row>
    <row r="34" ht="15" customHeight="1">
      <c r="A34" t="inlineStr">
        <is>
          <t>A 4615-2025</t>
        </is>
      </c>
      <c r="B34" s="1" t="n">
        <v>45687</v>
      </c>
      <c r="C34" s="1" t="n">
        <v>45962</v>
      </c>
      <c r="D34" t="inlineStr">
        <is>
          <t>SKÅNE LÄN</t>
        </is>
      </c>
      <c r="E34" t="inlineStr">
        <is>
          <t>HÄSSLEHOLM</t>
        </is>
      </c>
      <c r="G34" t="n">
        <v>1.7</v>
      </c>
      <c r="H34" t="n">
        <v>5</v>
      </c>
      <c r="I34" t="n">
        <v>0</v>
      </c>
      <c r="J34" t="n">
        <v>2</v>
      </c>
      <c r="K34" t="n">
        <v>0</v>
      </c>
      <c r="L34" t="n">
        <v>0</v>
      </c>
      <c r="M34" t="n">
        <v>0</v>
      </c>
      <c r="N34" t="n">
        <v>0</v>
      </c>
      <c r="O34" t="n">
        <v>2</v>
      </c>
      <c r="P34" t="n">
        <v>0</v>
      </c>
      <c r="Q34" t="n">
        <v>5</v>
      </c>
      <c r="R34" s="2" t="inlineStr">
        <is>
          <t>Entita
Talltita
Grönsiska
Kungsfågel
Tjäder</t>
        </is>
      </c>
      <c r="S34">
        <f>HYPERLINK("https://klasma.github.io/Logging_1293/artfynd/A 4615-2025 artfynd.xlsx", "A 4615-2025")</f>
        <v/>
      </c>
      <c r="T34">
        <f>HYPERLINK("https://klasma.github.io/Logging_1293/kartor/A 4615-2025 karta.png", "A 4615-2025")</f>
        <v/>
      </c>
      <c r="V34">
        <f>HYPERLINK("https://klasma.github.io/Logging_1293/klagomål/A 4615-2025 FSC-klagomål.docx", "A 4615-2025")</f>
        <v/>
      </c>
      <c r="W34">
        <f>HYPERLINK("https://klasma.github.io/Logging_1293/klagomålsmail/A 4615-2025 FSC-klagomål mail.docx", "A 4615-2025")</f>
        <v/>
      </c>
      <c r="X34">
        <f>HYPERLINK("https://klasma.github.io/Logging_1293/tillsyn/A 4615-2025 tillsynsbegäran.docx", "A 4615-2025")</f>
        <v/>
      </c>
      <c r="Y34">
        <f>HYPERLINK("https://klasma.github.io/Logging_1293/tillsynsmail/A 4615-2025 tillsynsbegäran mail.docx", "A 4615-2025")</f>
        <v/>
      </c>
      <c r="Z34">
        <f>HYPERLINK("https://klasma.github.io/Logging_1293/fåglar/A 4615-2025 prioriterade fågelarter.docx", "A 4615-2025")</f>
        <v/>
      </c>
    </row>
    <row r="35" ht="15" customHeight="1">
      <c r="A35" t="inlineStr">
        <is>
          <t>A 74502-2021</t>
        </is>
      </c>
      <c r="B35" s="1" t="n">
        <v>44560</v>
      </c>
      <c r="C35" s="1" t="n">
        <v>45962</v>
      </c>
      <c r="D35" t="inlineStr">
        <is>
          <t>SKÅNE LÄN</t>
        </is>
      </c>
      <c r="E35" t="inlineStr">
        <is>
          <t>ÄNGELHOLM</t>
        </is>
      </c>
      <c r="G35" t="n">
        <v>5.6</v>
      </c>
      <c r="H35" t="n">
        <v>4</v>
      </c>
      <c r="I35" t="n">
        <v>1</v>
      </c>
      <c r="J35" t="n">
        <v>3</v>
      </c>
      <c r="K35" t="n">
        <v>0</v>
      </c>
      <c r="L35" t="n">
        <v>0</v>
      </c>
      <c r="M35" t="n">
        <v>0</v>
      </c>
      <c r="N35" t="n">
        <v>0</v>
      </c>
      <c r="O35" t="n">
        <v>3</v>
      </c>
      <c r="P35" t="n">
        <v>0</v>
      </c>
      <c r="Q35" t="n">
        <v>5</v>
      </c>
      <c r="R35" s="2" t="inlineStr">
        <is>
          <t>Entita
Grönsångare
Spillkråka
Västlig hakmossa
Skogsduva</t>
        </is>
      </c>
      <c r="S35">
        <f>HYPERLINK("https://klasma.github.io/Logging_1292/artfynd/A 74502-2021 artfynd.xlsx", "A 74502-2021")</f>
        <v/>
      </c>
      <c r="T35">
        <f>HYPERLINK("https://klasma.github.io/Logging_1292/kartor/A 74502-2021 karta.png", "A 74502-2021")</f>
        <v/>
      </c>
      <c r="V35">
        <f>HYPERLINK("https://klasma.github.io/Logging_1292/klagomål/A 74502-2021 FSC-klagomål.docx", "A 74502-2021")</f>
        <v/>
      </c>
      <c r="W35">
        <f>HYPERLINK("https://klasma.github.io/Logging_1292/klagomålsmail/A 74502-2021 FSC-klagomål mail.docx", "A 74502-2021")</f>
        <v/>
      </c>
      <c r="X35">
        <f>HYPERLINK("https://klasma.github.io/Logging_1292/tillsyn/A 74502-2021 tillsynsbegäran.docx", "A 74502-2021")</f>
        <v/>
      </c>
      <c r="Y35">
        <f>HYPERLINK("https://klasma.github.io/Logging_1292/tillsynsmail/A 74502-2021 tillsynsbegäran mail.docx", "A 74502-2021")</f>
        <v/>
      </c>
      <c r="Z35">
        <f>HYPERLINK("https://klasma.github.io/Logging_1292/fåglar/A 74502-2021 prioriterade fågelarter.docx", "A 74502-2021")</f>
        <v/>
      </c>
    </row>
    <row r="36" ht="15" customHeight="1">
      <c r="A36" t="inlineStr">
        <is>
          <t>A 13467-2023</t>
        </is>
      </c>
      <c r="B36" s="1" t="n">
        <v>45005</v>
      </c>
      <c r="C36" s="1" t="n">
        <v>45962</v>
      </c>
      <c r="D36" t="inlineStr">
        <is>
          <t>SKÅNE LÄN</t>
        </is>
      </c>
      <c r="E36" t="inlineStr">
        <is>
          <t>HELSINGBORG</t>
        </is>
      </c>
      <c r="G36" t="n">
        <v>2.3</v>
      </c>
      <c r="H36" t="n">
        <v>2</v>
      </c>
      <c r="I36" t="n">
        <v>2</v>
      </c>
      <c r="J36" t="n">
        <v>3</v>
      </c>
      <c r="K36" t="n">
        <v>0</v>
      </c>
      <c r="L36" t="n">
        <v>0</v>
      </c>
      <c r="M36" t="n">
        <v>0</v>
      </c>
      <c r="N36" t="n">
        <v>0</v>
      </c>
      <c r="O36" t="n">
        <v>3</v>
      </c>
      <c r="P36" t="n">
        <v>0</v>
      </c>
      <c r="Q36" t="n">
        <v>5</v>
      </c>
      <c r="R36" s="2" t="inlineStr">
        <is>
          <t>Gulsparv
Hypoxylon petriniae
Kråka
Grå skärelav
Gulnål</t>
        </is>
      </c>
      <c r="S36">
        <f>HYPERLINK("https://klasma.github.io/Logging_1283/artfynd/A 13467-2023 artfynd.xlsx", "A 13467-2023")</f>
        <v/>
      </c>
      <c r="T36">
        <f>HYPERLINK("https://klasma.github.io/Logging_1283/kartor/A 13467-2023 karta.png", "A 13467-2023")</f>
        <v/>
      </c>
      <c r="V36">
        <f>HYPERLINK("https://klasma.github.io/Logging_1283/klagomål/A 13467-2023 FSC-klagomål.docx", "A 13467-2023")</f>
        <v/>
      </c>
      <c r="W36">
        <f>HYPERLINK("https://klasma.github.io/Logging_1283/klagomålsmail/A 13467-2023 FSC-klagomål mail.docx", "A 13467-2023")</f>
        <v/>
      </c>
      <c r="X36">
        <f>HYPERLINK("https://klasma.github.io/Logging_1283/tillsyn/A 13467-2023 tillsynsbegäran.docx", "A 13467-2023")</f>
        <v/>
      </c>
      <c r="Y36">
        <f>HYPERLINK("https://klasma.github.io/Logging_1283/tillsynsmail/A 13467-2023 tillsynsbegäran mail.docx", "A 13467-2023")</f>
        <v/>
      </c>
      <c r="Z36">
        <f>HYPERLINK("https://klasma.github.io/Logging_1283/fåglar/A 13467-2023 prioriterade fågelarter.docx", "A 13467-2023")</f>
        <v/>
      </c>
    </row>
    <row r="37" ht="15" customHeight="1">
      <c r="A37" t="inlineStr">
        <is>
          <t>A 45325-2025</t>
        </is>
      </c>
      <c r="B37" s="1" t="n">
        <v>45922</v>
      </c>
      <c r="C37" s="1" t="n">
        <v>45962</v>
      </c>
      <c r="D37" t="inlineStr">
        <is>
          <t>SKÅNE LÄN</t>
        </is>
      </c>
      <c r="E37" t="inlineStr">
        <is>
          <t>HELSINGBORG</t>
        </is>
      </c>
      <c r="G37" t="n">
        <v>1.6</v>
      </c>
      <c r="H37" t="n">
        <v>4</v>
      </c>
      <c r="I37" t="n">
        <v>0</v>
      </c>
      <c r="J37" t="n">
        <v>1</v>
      </c>
      <c r="K37" t="n">
        <v>0</v>
      </c>
      <c r="L37" t="n">
        <v>0</v>
      </c>
      <c r="M37" t="n">
        <v>0</v>
      </c>
      <c r="N37" t="n">
        <v>0</v>
      </c>
      <c r="O37" t="n">
        <v>1</v>
      </c>
      <c r="P37" t="n">
        <v>0</v>
      </c>
      <c r="Q37" t="n">
        <v>5</v>
      </c>
      <c r="R37" s="2" t="inlineStr">
        <is>
          <t>Nordlig buksimmare
Större vattensalamander
Åkergroda
Mindre vattensalamander
Vanlig groda</t>
        </is>
      </c>
      <c r="S37">
        <f>HYPERLINK("https://klasma.github.io/Logging_1283/artfynd/A 45325-2025 artfynd.xlsx", "A 45325-2025")</f>
        <v/>
      </c>
      <c r="T37">
        <f>HYPERLINK("https://klasma.github.io/Logging_1283/kartor/A 45325-2025 karta.png", "A 45325-2025")</f>
        <v/>
      </c>
      <c r="V37">
        <f>HYPERLINK("https://klasma.github.io/Logging_1283/klagomål/A 45325-2025 FSC-klagomål.docx", "A 45325-2025")</f>
        <v/>
      </c>
      <c r="W37">
        <f>HYPERLINK("https://klasma.github.io/Logging_1283/klagomålsmail/A 45325-2025 FSC-klagomål mail.docx", "A 45325-2025")</f>
        <v/>
      </c>
      <c r="X37">
        <f>HYPERLINK("https://klasma.github.io/Logging_1283/tillsyn/A 45325-2025 tillsynsbegäran.docx", "A 45325-2025")</f>
        <v/>
      </c>
      <c r="Y37">
        <f>HYPERLINK("https://klasma.github.io/Logging_1283/tillsynsmail/A 45325-2025 tillsynsbegäran mail.docx", "A 45325-2025")</f>
        <v/>
      </c>
    </row>
    <row r="38" ht="15" customHeight="1">
      <c r="A38" t="inlineStr">
        <is>
          <t>A 44382-2025</t>
        </is>
      </c>
      <c r="B38" s="1" t="n">
        <v>45916.48400462963</v>
      </c>
      <c r="C38" s="1" t="n">
        <v>45962</v>
      </c>
      <c r="D38" t="inlineStr">
        <is>
          <t>SKÅNE LÄN</t>
        </is>
      </c>
      <c r="E38" t="inlineStr">
        <is>
          <t>ÖRKELLJUNGA</t>
        </is>
      </c>
      <c r="G38" t="n">
        <v>4.3</v>
      </c>
      <c r="H38" t="n">
        <v>5</v>
      </c>
      <c r="I38" t="n">
        <v>0</v>
      </c>
      <c r="J38" t="n">
        <v>3</v>
      </c>
      <c r="K38" t="n">
        <v>0</v>
      </c>
      <c r="L38" t="n">
        <v>0</v>
      </c>
      <c r="M38" t="n">
        <v>0</v>
      </c>
      <c r="N38" t="n">
        <v>0</v>
      </c>
      <c r="O38" t="n">
        <v>3</v>
      </c>
      <c r="P38" t="n">
        <v>0</v>
      </c>
      <c r="Q38" t="n">
        <v>5</v>
      </c>
      <c r="R38" s="2" t="inlineStr">
        <is>
          <t>Gulsparv
Spillkråka
Talltita
Kungsfågel
Orre</t>
        </is>
      </c>
      <c r="S38">
        <f>HYPERLINK("https://klasma.github.io/Logging_1257/artfynd/A 44382-2025 artfynd.xlsx", "A 44382-2025")</f>
        <v/>
      </c>
      <c r="T38">
        <f>HYPERLINK("https://klasma.github.io/Logging_1257/kartor/A 44382-2025 karta.png", "A 44382-2025")</f>
        <v/>
      </c>
      <c r="V38">
        <f>HYPERLINK("https://klasma.github.io/Logging_1257/klagomål/A 44382-2025 FSC-klagomål.docx", "A 44382-2025")</f>
        <v/>
      </c>
      <c r="W38">
        <f>HYPERLINK("https://klasma.github.io/Logging_1257/klagomålsmail/A 44382-2025 FSC-klagomål mail.docx", "A 44382-2025")</f>
        <v/>
      </c>
      <c r="X38">
        <f>HYPERLINK("https://klasma.github.io/Logging_1257/tillsyn/A 44382-2025 tillsynsbegäran.docx", "A 44382-2025")</f>
        <v/>
      </c>
      <c r="Y38">
        <f>HYPERLINK("https://klasma.github.io/Logging_1257/tillsynsmail/A 44382-2025 tillsynsbegäran mail.docx", "A 44382-2025")</f>
        <v/>
      </c>
      <c r="Z38">
        <f>HYPERLINK("https://klasma.github.io/Logging_1257/fåglar/A 44382-2025 prioriterade fågelarter.docx", "A 44382-2025")</f>
        <v/>
      </c>
    </row>
    <row r="39" ht="15" customHeight="1">
      <c r="A39" t="inlineStr">
        <is>
          <t>A 62987-2023</t>
        </is>
      </c>
      <c r="B39" s="1" t="n">
        <v>45272</v>
      </c>
      <c r="C39" s="1" t="n">
        <v>45962</v>
      </c>
      <c r="D39" t="inlineStr">
        <is>
          <t>SKÅNE LÄN</t>
        </is>
      </c>
      <c r="E39" t="inlineStr">
        <is>
          <t>KRISTIANSTAD</t>
        </is>
      </c>
      <c r="G39" t="n">
        <v>13.5</v>
      </c>
      <c r="H39" t="n">
        <v>3</v>
      </c>
      <c r="I39" t="n">
        <v>1</v>
      </c>
      <c r="J39" t="n">
        <v>0</v>
      </c>
      <c r="K39" t="n">
        <v>0</v>
      </c>
      <c r="L39" t="n">
        <v>0</v>
      </c>
      <c r="M39" t="n">
        <v>0</v>
      </c>
      <c r="N39" t="n">
        <v>0</v>
      </c>
      <c r="O39" t="n">
        <v>0</v>
      </c>
      <c r="P39" t="n">
        <v>0</v>
      </c>
      <c r="Q39" t="n">
        <v>4</v>
      </c>
      <c r="R39" s="2" t="inlineStr">
        <is>
          <t>Västlig hakmossa
Åkergroda
Mindre vattensalamander
Skogsödla</t>
        </is>
      </c>
      <c r="S39">
        <f>HYPERLINK("https://klasma.github.io/Logging_1290/artfynd/A 62987-2023 artfynd.xlsx", "A 62987-2023")</f>
        <v/>
      </c>
      <c r="T39">
        <f>HYPERLINK("https://klasma.github.io/Logging_1290/kartor/A 62987-2023 karta.png", "A 62987-2023")</f>
        <v/>
      </c>
      <c r="V39">
        <f>HYPERLINK("https://klasma.github.io/Logging_1290/klagomål/A 62987-2023 FSC-klagomål.docx", "A 62987-2023")</f>
        <v/>
      </c>
      <c r="W39">
        <f>HYPERLINK("https://klasma.github.io/Logging_1290/klagomålsmail/A 62987-2023 FSC-klagomål mail.docx", "A 62987-2023")</f>
        <v/>
      </c>
      <c r="X39">
        <f>HYPERLINK("https://klasma.github.io/Logging_1290/tillsyn/A 62987-2023 tillsynsbegäran.docx", "A 62987-2023")</f>
        <v/>
      </c>
      <c r="Y39">
        <f>HYPERLINK("https://klasma.github.io/Logging_1290/tillsynsmail/A 62987-2023 tillsynsbegäran mail.docx", "A 62987-2023")</f>
        <v/>
      </c>
    </row>
    <row r="40" ht="15" customHeight="1">
      <c r="A40" t="inlineStr">
        <is>
          <t>A 22337-2024</t>
        </is>
      </c>
      <c r="B40" s="1" t="n">
        <v>45446</v>
      </c>
      <c r="C40" s="1" t="n">
        <v>45962</v>
      </c>
      <c r="D40" t="inlineStr">
        <is>
          <t>SKÅNE LÄN</t>
        </is>
      </c>
      <c r="E40" t="inlineStr">
        <is>
          <t>SJÖBO</t>
        </is>
      </c>
      <c r="G40" t="n">
        <v>12.6</v>
      </c>
      <c r="H40" t="n">
        <v>1</v>
      </c>
      <c r="I40" t="n">
        <v>3</v>
      </c>
      <c r="J40" t="n">
        <v>0</v>
      </c>
      <c r="K40" t="n">
        <v>1</v>
      </c>
      <c r="L40" t="n">
        <v>0</v>
      </c>
      <c r="M40" t="n">
        <v>0</v>
      </c>
      <c r="N40" t="n">
        <v>0</v>
      </c>
      <c r="O40" t="n">
        <v>1</v>
      </c>
      <c r="P40" t="n">
        <v>1</v>
      </c>
      <c r="Q40" t="n">
        <v>4</v>
      </c>
      <c r="R40" s="2" t="inlineStr">
        <is>
          <t>Fläcklungört
Kransrams
Myskmadra
Skogsknipprot</t>
        </is>
      </c>
      <c r="S40">
        <f>HYPERLINK("https://klasma.github.io/Logging_1265/artfynd/A 22337-2024 artfynd.xlsx", "A 22337-2024")</f>
        <v/>
      </c>
      <c r="T40">
        <f>HYPERLINK("https://klasma.github.io/Logging_1265/kartor/A 22337-2024 karta.png", "A 22337-2024")</f>
        <v/>
      </c>
      <c r="V40">
        <f>HYPERLINK("https://klasma.github.io/Logging_1265/klagomål/A 22337-2024 FSC-klagomål.docx", "A 22337-2024")</f>
        <v/>
      </c>
      <c r="W40">
        <f>HYPERLINK("https://klasma.github.io/Logging_1265/klagomålsmail/A 22337-2024 FSC-klagomål mail.docx", "A 22337-2024")</f>
        <v/>
      </c>
      <c r="X40">
        <f>HYPERLINK("https://klasma.github.io/Logging_1265/tillsyn/A 22337-2024 tillsynsbegäran.docx", "A 22337-2024")</f>
        <v/>
      </c>
      <c r="Y40">
        <f>HYPERLINK("https://klasma.github.io/Logging_1265/tillsynsmail/A 22337-2024 tillsynsbegäran mail.docx", "A 22337-2024")</f>
        <v/>
      </c>
    </row>
    <row r="41" ht="15" customHeight="1">
      <c r="A41" t="inlineStr">
        <is>
          <t>A 60427-2022</t>
        </is>
      </c>
      <c r="B41" s="1" t="n">
        <v>44911</v>
      </c>
      <c r="C41" s="1" t="n">
        <v>45962</v>
      </c>
      <c r="D41" t="inlineStr">
        <is>
          <t>SKÅNE LÄN</t>
        </is>
      </c>
      <c r="E41" t="inlineStr">
        <is>
          <t>HÖÖR</t>
        </is>
      </c>
      <c r="G41" t="n">
        <v>4.1</v>
      </c>
      <c r="H41" t="n">
        <v>1</v>
      </c>
      <c r="I41" t="n">
        <v>3</v>
      </c>
      <c r="J41" t="n">
        <v>0</v>
      </c>
      <c r="K41" t="n">
        <v>0</v>
      </c>
      <c r="L41" t="n">
        <v>0</v>
      </c>
      <c r="M41" t="n">
        <v>0</v>
      </c>
      <c r="N41" t="n">
        <v>0</v>
      </c>
      <c r="O41" t="n">
        <v>0</v>
      </c>
      <c r="P41" t="n">
        <v>0</v>
      </c>
      <c r="Q41" t="n">
        <v>4</v>
      </c>
      <c r="R41" s="2" t="inlineStr">
        <is>
          <t>Kransrams
Myskmadra
Vårärt
Blåsippa</t>
        </is>
      </c>
      <c r="S41">
        <f>HYPERLINK("https://klasma.github.io/Logging_1267/artfynd/A 60427-2022 artfynd.xlsx", "A 60427-2022")</f>
        <v/>
      </c>
      <c r="T41">
        <f>HYPERLINK("https://klasma.github.io/Logging_1267/kartor/A 60427-2022 karta.png", "A 60427-2022")</f>
        <v/>
      </c>
      <c r="V41">
        <f>HYPERLINK("https://klasma.github.io/Logging_1267/klagomål/A 60427-2022 FSC-klagomål.docx", "A 60427-2022")</f>
        <v/>
      </c>
      <c r="W41">
        <f>HYPERLINK("https://klasma.github.io/Logging_1267/klagomålsmail/A 60427-2022 FSC-klagomål mail.docx", "A 60427-2022")</f>
        <v/>
      </c>
      <c r="X41">
        <f>HYPERLINK("https://klasma.github.io/Logging_1267/tillsyn/A 60427-2022 tillsynsbegäran.docx", "A 60427-2022")</f>
        <v/>
      </c>
      <c r="Y41">
        <f>HYPERLINK("https://klasma.github.io/Logging_1267/tillsynsmail/A 60427-2022 tillsynsbegäran mail.docx", "A 60427-2022")</f>
        <v/>
      </c>
    </row>
    <row r="42" ht="15" customHeight="1">
      <c r="A42" t="inlineStr">
        <is>
          <t>A 8181-2025</t>
        </is>
      </c>
      <c r="B42" s="1" t="n">
        <v>45708.3941550926</v>
      </c>
      <c r="C42" s="1" t="n">
        <v>45962</v>
      </c>
      <c r="D42" t="inlineStr">
        <is>
          <t>SKÅNE LÄN</t>
        </is>
      </c>
      <c r="E42" t="inlineStr">
        <is>
          <t>HÄSSLEHOLM</t>
        </is>
      </c>
      <c r="G42" t="n">
        <v>6.8</v>
      </c>
      <c r="H42" t="n">
        <v>4</v>
      </c>
      <c r="I42" t="n">
        <v>0</v>
      </c>
      <c r="J42" t="n">
        <v>2</v>
      </c>
      <c r="K42" t="n">
        <v>0</v>
      </c>
      <c r="L42" t="n">
        <v>0</v>
      </c>
      <c r="M42" t="n">
        <v>0</v>
      </c>
      <c r="N42" t="n">
        <v>0</v>
      </c>
      <c r="O42" t="n">
        <v>2</v>
      </c>
      <c r="P42" t="n">
        <v>0</v>
      </c>
      <c r="Q42" t="n">
        <v>4</v>
      </c>
      <c r="R42" s="2" t="inlineStr">
        <is>
          <t>Entita
Talltita
Grönsiska
Kungsfågel</t>
        </is>
      </c>
      <c r="S42">
        <f>HYPERLINK("https://klasma.github.io/Logging_1293/artfynd/A 8181-2025 artfynd.xlsx", "A 8181-2025")</f>
        <v/>
      </c>
      <c r="T42">
        <f>HYPERLINK("https://klasma.github.io/Logging_1293/kartor/A 8181-2025 karta.png", "A 8181-2025")</f>
        <v/>
      </c>
      <c r="V42">
        <f>HYPERLINK("https://klasma.github.io/Logging_1293/klagomål/A 8181-2025 FSC-klagomål.docx", "A 8181-2025")</f>
        <v/>
      </c>
      <c r="W42">
        <f>HYPERLINK("https://klasma.github.io/Logging_1293/klagomålsmail/A 8181-2025 FSC-klagomål mail.docx", "A 8181-2025")</f>
        <v/>
      </c>
      <c r="X42">
        <f>HYPERLINK("https://klasma.github.io/Logging_1293/tillsyn/A 8181-2025 tillsynsbegäran.docx", "A 8181-2025")</f>
        <v/>
      </c>
      <c r="Y42">
        <f>HYPERLINK("https://klasma.github.io/Logging_1293/tillsynsmail/A 8181-2025 tillsynsbegäran mail.docx", "A 8181-2025")</f>
        <v/>
      </c>
      <c r="Z42">
        <f>HYPERLINK("https://klasma.github.io/Logging_1293/fåglar/A 8181-2025 prioriterade fågelarter.docx", "A 8181-2025")</f>
        <v/>
      </c>
    </row>
    <row r="43" ht="15" customHeight="1">
      <c r="A43" t="inlineStr">
        <is>
          <t>A 60543-2023</t>
        </is>
      </c>
      <c r="B43" s="1" t="n">
        <v>45259</v>
      </c>
      <c r="C43" s="1" t="n">
        <v>45962</v>
      </c>
      <c r="D43" t="inlineStr">
        <is>
          <t>SKÅNE LÄN</t>
        </is>
      </c>
      <c r="E43" t="inlineStr">
        <is>
          <t>SJÖBO</t>
        </is>
      </c>
      <c r="G43" t="n">
        <v>4.6</v>
      </c>
      <c r="H43" t="n">
        <v>1</v>
      </c>
      <c r="I43" t="n">
        <v>3</v>
      </c>
      <c r="J43" t="n">
        <v>1</v>
      </c>
      <c r="K43" t="n">
        <v>0</v>
      </c>
      <c r="L43" t="n">
        <v>0</v>
      </c>
      <c r="M43" t="n">
        <v>0</v>
      </c>
      <c r="N43" t="n">
        <v>0</v>
      </c>
      <c r="O43" t="n">
        <v>1</v>
      </c>
      <c r="P43" t="n">
        <v>0</v>
      </c>
      <c r="Q43" t="n">
        <v>4</v>
      </c>
      <c r="R43" s="2" t="inlineStr">
        <is>
          <t>Trollfibbla
Kransrams
Stor häxört
Tvåblad</t>
        </is>
      </c>
      <c r="S43">
        <f>HYPERLINK("https://klasma.github.io/Logging_1265/artfynd/A 60543-2023 artfynd.xlsx", "A 60543-2023")</f>
        <v/>
      </c>
      <c r="T43">
        <f>HYPERLINK("https://klasma.github.io/Logging_1265/kartor/A 60543-2023 karta.png", "A 60543-2023")</f>
        <v/>
      </c>
      <c r="V43">
        <f>HYPERLINK("https://klasma.github.io/Logging_1265/klagomål/A 60543-2023 FSC-klagomål.docx", "A 60543-2023")</f>
        <v/>
      </c>
      <c r="W43">
        <f>HYPERLINK("https://klasma.github.io/Logging_1265/klagomålsmail/A 60543-2023 FSC-klagomål mail.docx", "A 60543-2023")</f>
        <v/>
      </c>
      <c r="X43">
        <f>HYPERLINK("https://klasma.github.io/Logging_1265/tillsyn/A 60543-2023 tillsynsbegäran.docx", "A 60543-2023")</f>
        <v/>
      </c>
      <c r="Y43">
        <f>HYPERLINK("https://klasma.github.io/Logging_1265/tillsynsmail/A 60543-2023 tillsynsbegäran mail.docx", "A 60543-2023")</f>
        <v/>
      </c>
    </row>
    <row r="44" ht="15" customHeight="1">
      <c r="A44" t="inlineStr">
        <is>
          <t>A 59155-2022</t>
        </is>
      </c>
      <c r="B44" s="1" t="n">
        <v>44897</v>
      </c>
      <c r="C44" s="1" t="n">
        <v>45962</v>
      </c>
      <c r="D44" t="inlineStr">
        <is>
          <t>SKÅNE LÄN</t>
        </is>
      </c>
      <c r="E44" t="inlineStr">
        <is>
          <t>ÖSTRA GÖINGE</t>
        </is>
      </c>
      <c r="G44" t="n">
        <v>5.2</v>
      </c>
      <c r="H44" t="n">
        <v>0</v>
      </c>
      <c r="I44" t="n">
        <v>2</v>
      </c>
      <c r="J44" t="n">
        <v>0</v>
      </c>
      <c r="K44" t="n">
        <v>1</v>
      </c>
      <c r="L44" t="n">
        <v>1</v>
      </c>
      <c r="M44" t="n">
        <v>0</v>
      </c>
      <c r="N44" t="n">
        <v>0</v>
      </c>
      <c r="O44" t="n">
        <v>2</v>
      </c>
      <c r="P44" t="n">
        <v>2</v>
      </c>
      <c r="Q44" t="n">
        <v>4</v>
      </c>
      <c r="R44" s="2" t="inlineStr">
        <is>
          <t>Ask
Blek kraterlav
Gulfotshätta
Lönnlav</t>
        </is>
      </c>
      <c r="S44">
        <f>HYPERLINK("https://klasma.github.io/Logging_1256/artfynd/A 59155-2022 artfynd.xlsx", "A 59155-2022")</f>
        <v/>
      </c>
      <c r="T44">
        <f>HYPERLINK("https://klasma.github.io/Logging_1256/kartor/A 59155-2022 karta.png", "A 59155-2022")</f>
        <v/>
      </c>
      <c r="V44">
        <f>HYPERLINK("https://klasma.github.io/Logging_1256/klagomål/A 59155-2022 FSC-klagomål.docx", "A 59155-2022")</f>
        <v/>
      </c>
      <c r="W44">
        <f>HYPERLINK("https://klasma.github.io/Logging_1256/klagomålsmail/A 59155-2022 FSC-klagomål mail.docx", "A 59155-2022")</f>
        <v/>
      </c>
      <c r="X44">
        <f>HYPERLINK("https://klasma.github.io/Logging_1256/tillsyn/A 59155-2022 tillsynsbegäran.docx", "A 59155-2022")</f>
        <v/>
      </c>
      <c r="Y44">
        <f>HYPERLINK("https://klasma.github.io/Logging_1256/tillsynsmail/A 59155-2022 tillsynsbegäran mail.docx", "A 59155-2022")</f>
        <v/>
      </c>
    </row>
    <row r="45" ht="15" customHeight="1">
      <c r="A45" t="inlineStr">
        <is>
          <t>A 12799-2025</t>
        </is>
      </c>
      <c r="B45" s="1" t="n">
        <v>45733</v>
      </c>
      <c r="C45" s="1" t="n">
        <v>45962</v>
      </c>
      <c r="D45" t="inlineStr">
        <is>
          <t>SKÅNE LÄN</t>
        </is>
      </c>
      <c r="E45" t="inlineStr">
        <is>
          <t>KRISTIANSTAD</t>
        </is>
      </c>
      <c r="G45" t="n">
        <v>11.4</v>
      </c>
      <c r="H45" t="n">
        <v>2</v>
      </c>
      <c r="I45" t="n">
        <v>1</v>
      </c>
      <c r="J45" t="n">
        <v>0</v>
      </c>
      <c r="K45" t="n">
        <v>0</v>
      </c>
      <c r="L45" t="n">
        <v>1</v>
      </c>
      <c r="M45" t="n">
        <v>0</v>
      </c>
      <c r="N45" t="n">
        <v>0</v>
      </c>
      <c r="O45" t="n">
        <v>1</v>
      </c>
      <c r="P45" t="n">
        <v>1</v>
      </c>
      <c r="Q45" t="n">
        <v>4</v>
      </c>
      <c r="R45" s="2" t="inlineStr">
        <is>
          <t>Ryl
Grönpyrola
Mattlummer
Revlummer</t>
        </is>
      </c>
      <c r="S45">
        <f>HYPERLINK("https://klasma.github.io/Logging_1290/artfynd/A 12799-2025 artfynd.xlsx", "A 12799-2025")</f>
        <v/>
      </c>
      <c r="T45">
        <f>HYPERLINK("https://klasma.github.io/Logging_1290/kartor/A 12799-2025 karta.png", "A 12799-2025")</f>
        <v/>
      </c>
      <c r="V45">
        <f>HYPERLINK("https://klasma.github.io/Logging_1290/klagomål/A 12799-2025 FSC-klagomål.docx", "A 12799-2025")</f>
        <v/>
      </c>
      <c r="W45">
        <f>HYPERLINK("https://klasma.github.io/Logging_1290/klagomålsmail/A 12799-2025 FSC-klagomål mail.docx", "A 12799-2025")</f>
        <v/>
      </c>
      <c r="X45">
        <f>HYPERLINK("https://klasma.github.io/Logging_1290/tillsyn/A 12799-2025 tillsynsbegäran.docx", "A 12799-2025")</f>
        <v/>
      </c>
      <c r="Y45">
        <f>HYPERLINK("https://klasma.github.io/Logging_1290/tillsynsmail/A 12799-2025 tillsynsbegäran mail.docx", "A 12799-2025")</f>
        <v/>
      </c>
    </row>
    <row r="46" ht="15" customHeight="1">
      <c r="A46" t="inlineStr">
        <is>
          <t>A 42062-2024</t>
        </is>
      </c>
      <c r="B46" s="1" t="n">
        <v>45561</v>
      </c>
      <c r="C46" s="1" t="n">
        <v>45962</v>
      </c>
      <c r="D46" t="inlineStr">
        <is>
          <t>SKÅNE LÄN</t>
        </is>
      </c>
      <c r="E46" t="inlineStr">
        <is>
          <t>BROMÖLLA</t>
        </is>
      </c>
      <c r="G46" t="n">
        <v>12.2</v>
      </c>
      <c r="H46" t="n">
        <v>0</v>
      </c>
      <c r="I46" t="n">
        <v>4</v>
      </c>
      <c r="J46" t="n">
        <v>0</v>
      </c>
      <c r="K46" t="n">
        <v>0</v>
      </c>
      <c r="L46" t="n">
        <v>0</v>
      </c>
      <c r="M46" t="n">
        <v>0</v>
      </c>
      <c r="N46" t="n">
        <v>0</v>
      </c>
      <c r="O46" t="n">
        <v>0</v>
      </c>
      <c r="P46" t="n">
        <v>0</v>
      </c>
      <c r="Q46" t="n">
        <v>4</v>
      </c>
      <c r="R46" s="2" t="inlineStr">
        <is>
          <t>Ekskinn
Havstulpanlav
Rostfläck
Västlig hakmossa</t>
        </is>
      </c>
      <c r="S46">
        <f>HYPERLINK("https://klasma.github.io/Logging_1272/artfynd/A 42062-2024 artfynd.xlsx", "A 42062-2024")</f>
        <v/>
      </c>
      <c r="T46">
        <f>HYPERLINK("https://klasma.github.io/Logging_1272/kartor/A 42062-2024 karta.png", "A 42062-2024")</f>
        <v/>
      </c>
      <c r="V46">
        <f>HYPERLINK("https://klasma.github.io/Logging_1272/klagomål/A 42062-2024 FSC-klagomål.docx", "A 42062-2024")</f>
        <v/>
      </c>
      <c r="W46">
        <f>HYPERLINK("https://klasma.github.io/Logging_1272/klagomålsmail/A 42062-2024 FSC-klagomål mail.docx", "A 42062-2024")</f>
        <v/>
      </c>
      <c r="X46">
        <f>HYPERLINK("https://klasma.github.io/Logging_1272/tillsyn/A 42062-2024 tillsynsbegäran.docx", "A 42062-2024")</f>
        <v/>
      </c>
      <c r="Y46">
        <f>HYPERLINK("https://klasma.github.io/Logging_1272/tillsynsmail/A 42062-2024 tillsynsbegäran mail.docx", "A 42062-2024")</f>
        <v/>
      </c>
    </row>
    <row r="47" ht="15" customHeight="1">
      <c r="A47" t="inlineStr">
        <is>
          <t>A 31991-2025</t>
        </is>
      </c>
      <c r="B47" s="1" t="n">
        <v>45835</v>
      </c>
      <c r="C47" s="1" t="n">
        <v>45962</v>
      </c>
      <c r="D47" t="inlineStr">
        <is>
          <t>SKÅNE LÄN</t>
        </is>
      </c>
      <c r="E47" t="inlineStr">
        <is>
          <t>ÄNGELHOLM</t>
        </is>
      </c>
      <c r="G47" t="n">
        <v>15.1</v>
      </c>
      <c r="H47" t="n">
        <v>1</v>
      </c>
      <c r="I47" t="n">
        <v>3</v>
      </c>
      <c r="J47" t="n">
        <v>1</v>
      </c>
      <c r="K47" t="n">
        <v>0</v>
      </c>
      <c r="L47" t="n">
        <v>0</v>
      </c>
      <c r="M47" t="n">
        <v>0</v>
      </c>
      <c r="N47" t="n">
        <v>0</v>
      </c>
      <c r="O47" t="n">
        <v>1</v>
      </c>
      <c r="P47" t="n">
        <v>0</v>
      </c>
      <c r="Q47" t="n">
        <v>4</v>
      </c>
      <c r="R47" s="2" t="inlineStr">
        <is>
          <t>Ärtsångare
Blanksvart trämyra
Rostfläck
Västlig hakmossa</t>
        </is>
      </c>
      <c r="S47">
        <f>HYPERLINK("https://klasma.github.io/Logging_1292/artfynd/A 31991-2025 artfynd.xlsx", "A 31991-2025")</f>
        <v/>
      </c>
      <c r="T47">
        <f>HYPERLINK("https://klasma.github.io/Logging_1292/kartor/A 31991-2025 karta.png", "A 31991-2025")</f>
        <v/>
      </c>
      <c r="V47">
        <f>HYPERLINK("https://klasma.github.io/Logging_1292/klagomål/A 31991-2025 FSC-klagomål.docx", "A 31991-2025")</f>
        <v/>
      </c>
      <c r="W47">
        <f>HYPERLINK("https://klasma.github.io/Logging_1292/klagomålsmail/A 31991-2025 FSC-klagomål mail.docx", "A 31991-2025")</f>
        <v/>
      </c>
      <c r="X47">
        <f>HYPERLINK("https://klasma.github.io/Logging_1292/tillsyn/A 31991-2025 tillsynsbegäran.docx", "A 31991-2025")</f>
        <v/>
      </c>
      <c r="Y47">
        <f>HYPERLINK("https://klasma.github.io/Logging_1292/tillsynsmail/A 31991-2025 tillsynsbegäran mail.docx", "A 31991-2025")</f>
        <v/>
      </c>
      <c r="Z47">
        <f>HYPERLINK("https://klasma.github.io/Logging_1292/fåglar/A 31991-2025 prioriterade fågelarter.docx", "A 31991-2025")</f>
        <v/>
      </c>
    </row>
    <row r="48" ht="15" customHeight="1">
      <c r="A48" t="inlineStr">
        <is>
          <t>A 24278-2023</t>
        </is>
      </c>
      <c r="B48" s="1" t="n">
        <v>45079</v>
      </c>
      <c r="C48" s="1" t="n">
        <v>45962</v>
      </c>
      <c r="D48" t="inlineStr">
        <is>
          <t>SKÅNE LÄN</t>
        </is>
      </c>
      <c r="E48" t="inlineStr">
        <is>
          <t>HÖÖR</t>
        </is>
      </c>
      <c r="G48" t="n">
        <v>0.8</v>
      </c>
      <c r="H48" t="n">
        <v>4</v>
      </c>
      <c r="I48" t="n">
        <v>0</v>
      </c>
      <c r="J48" t="n">
        <v>3</v>
      </c>
      <c r="K48" t="n">
        <v>0</v>
      </c>
      <c r="L48" t="n">
        <v>0</v>
      </c>
      <c r="M48" t="n">
        <v>0</v>
      </c>
      <c r="N48" t="n">
        <v>0</v>
      </c>
      <c r="O48" t="n">
        <v>3</v>
      </c>
      <c r="P48" t="n">
        <v>0</v>
      </c>
      <c r="Q48" t="n">
        <v>4</v>
      </c>
      <c r="R48" s="2" t="inlineStr">
        <is>
          <t>Björktrast
Rödvingetrast
Spillkråka
Trana</t>
        </is>
      </c>
      <c r="S48">
        <f>HYPERLINK("https://klasma.github.io/Logging_1267/artfynd/A 24278-2023 artfynd.xlsx", "A 24278-2023")</f>
        <v/>
      </c>
      <c r="T48">
        <f>HYPERLINK("https://klasma.github.io/Logging_1267/kartor/A 24278-2023 karta.png", "A 24278-2023")</f>
        <v/>
      </c>
      <c r="V48">
        <f>HYPERLINK("https://klasma.github.io/Logging_1267/klagomål/A 24278-2023 FSC-klagomål.docx", "A 24278-2023")</f>
        <v/>
      </c>
      <c r="W48">
        <f>HYPERLINK("https://klasma.github.io/Logging_1267/klagomålsmail/A 24278-2023 FSC-klagomål mail.docx", "A 24278-2023")</f>
        <v/>
      </c>
      <c r="X48">
        <f>HYPERLINK("https://klasma.github.io/Logging_1267/tillsyn/A 24278-2023 tillsynsbegäran.docx", "A 24278-2023")</f>
        <v/>
      </c>
      <c r="Y48">
        <f>HYPERLINK("https://klasma.github.io/Logging_1267/tillsynsmail/A 24278-2023 tillsynsbegäran mail.docx", "A 24278-2023")</f>
        <v/>
      </c>
      <c r="Z48">
        <f>HYPERLINK("https://klasma.github.io/Logging_1267/fåglar/A 24278-2023 prioriterade fågelarter.docx", "A 24278-2023")</f>
        <v/>
      </c>
    </row>
    <row r="49" ht="15" customHeight="1">
      <c r="A49" t="inlineStr">
        <is>
          <t>A 28963-2023</t>
        </is>
      </c>
      <c r="B49" s="1" t="n">
        <v>45104</v>
      </c>
      <c r="C49" s="1" t="n">
        <v>45962</v>
      </c>
      <c r="D49" t="inlineStr">
        <is>
          <t>SKÅNE LÄN</t>
        </is>
      </c>
      <c r="E49" t="inlineStr">
        <is>
          <t>HÖRBY</t>
        </is>
      </c>
      <c r="G49" t="n">
        <v>3.2</v>
      </c>
      <c r="H49" t="n">
        <v>3</v>
      </c>
      <c r="I49" t="n">
        <v>1</v>
      </c>
      <c r="J49" t="n">
        <v>0</v>
      </c>
      <c r="K49" t="n">
        <v>0</v>
      </c>
      <c r="L49" t="n">
        <v>0</v>
      </c>
      <c r="M49" t="n">
        <v>0</v>
      </c>
      <c r="N49" t="n">
        <v>0</v>
      </c>
      <c r="O49" t="n">
        <v>0</v>
      </c>
      <c r="P49" t="n">
        <v>0</v>
      </c>
      <c r="Q49" t="n">
        <v>4</v>
      </c>
      <c r="R49" s="2" t="inlineStr">
        <is>
          <t>Hässleklocka
Skogsödla
Vanlig padda
Vanlig snok</t>
        </is>
      </c>
      <c r="S49">
        <f>HYPERLINK("https://klasma.github.io/Logging_1266/artfynd/A 28963-2023 artfynd.xlsx", "A 28963-2023")</f>
        <v/>
      </c>
      <c r="T49">
        <f>HYPERLINK("https://klasma.github.io/Logging_1266/kartor/A 28963-2023 karta.png", "A 28963-2023")</f>
        <v/>
      </c>
      <c r="V49">
        <f>HYPERLINK("https://klasma.github.io/Logging_1266/klagomål/A 28963-2023 FSC-klagomål.docx", "A 28963-2023")</f>
        <v/>
      </c>
      <c r="W49">
        <f>HYPERLINK("https://klasma.github.io/Logging_1266/klagomålsmail/A 28963-2023 FSC-klagomål mail.docx", "A 28963-2023")</f>
        <v/>
      </c>
      <c r="X49">
        <f>HYPERLINK("https://klasma.github.io/Logging_1266/tillsyn/A 28963-2023 tillsynsbegäran.docx", "A 28963-2023")</f>
        <v/>
      </c>
      <c r="Y49">
        <f>HYPERLINK("https://klasma.github.io/Logging_1266/tillsynsmail/A 28963-2023 tillsynsbegäran mail.docx", "A 28963-2023")</f>
        <v/>
      </c>
    </row>
    <row r="50" ht="15" customHeight="1">
      <c r="A50" t="inlineStr">
        <is>
          <t>A 2787-2024</t>
        </is>
      </c>
      <c r="B50" s="1" t="n">
        <v>45314</v>
      </c>
      <c r="C50" s="1" t="n">
        <v>45962</v>
      </c>
      <c r="D50" t="inlineStr">
        <is>
          <t>SKÅNE LÄN</t>
        </is>
      </c>
      <c r="E50" t="inlineStr">
        <is>
          <t>HÖÖR</t>
        </is>
      </c>
      <c r="G50" t="n">
        <v>0.8</v>
      </c>
      <c r="H50" t="n">
        <v>4</v>
      </c>
      <c r="I50" t="n">
        <v>0</v>
      </c>
      <c r="J50" t="n">
        <v>2</v>
      </c>
      <c r="K50" t="n">
        <v>0</v>
      </c>
      <c r="L50" t="n">
        <v>0</v>
      </c>
      <c r="M50" t="n">
        <v>0</v>
      </c>
      <c r="N50" t="n">
        <v>0</v>
      </c>
      <c r="O50" t="n">
        <v>2</v>
      </c>
      <c r="P50" t="n">
        <v>0</v>
      </c>
      <c r="Q50" t="n">
        <v>4</v>
      </c>
      <c r="R50" s="2" t="inlineStr">
        <is>
          <t>Brunlångöra
Nordfladdermus
Större brunfladdermus
Vattenfladdermus</t>
        </is>
      </c>
      <c r="S50">
        <f>HYPERLINK("https://klasma.github.io/Logging_1267/artfynd/A 2787-2024 artfynd.xlsx", "A 2787-2024")</f>
        <v/>
      </c>
      <c r="T50">
        <f>HYPERLINK("https://klasma.github.io/Logging_1267/kartor/A 2787-2024 karta.png", "A 2787-2024")</f>
        <v/>
      </c>
      <c r="V50">
        <f>HYPERLINK("https://klasma.github.io/Logging_1267/klagomål/A 2787-2024 FSC-klagomål.docx", "A 2787-2024")</f>
        <v/>
      </c>
      <c r="W50">
        <f>HYPERLINK("https://klasma.github.io/Logging_1267/klagomålsmail/A 2787-2024 FSC-klagomål mail.docx", "A 2787-2024")</f>
        <v/>
      </c>
      <c r="X50">
        <f>HYPERLINK("https://klasma.github.io/Logging_1267/tillsyn/A 2787-2024 tillsynsbegäran.docx", "A 2787-2024")</f>
        <v/>
      </c>
      <c r="Y50">
        <f>HYPERLINK("https://klasma.github.io/Logging_1267/tillsynsmail/A 2787-2024 tillsynsbegäran mail.docx", "A 2787-2024")</f>
        <v/>
      </c>
    </row>
    <row r="51" ht="15" customHeight="1">
      <c r="A51" t="inlineStr">
        <is>
          <t>A 4598-2025</t>
        </is>
      </c>
      <c r="B51" s="1" t="n">
        <v>45687</v>
      </c>
      <c r="C51" s="1" t="n">
        <v>45962</v>
      </c>
      <c r="D51" t="inlineStr">
        <is>
          <t>SKÅNE LÄN</t>
        </is>
      </c>
      <c r="E51" t="inlineStr">
        <is>
          <t>HÄSSLEHOLM</t>
        </is>
      </c>
      <c r="G51" t="n">
        <v>3.3</v>
      </c>
      <c r="H51" t="n">
        <v>4</v>
      </c>
      <c r="I51" t="n">
        <v>0</v>
      </c>
      <c r="J51" t="n">
        <v>2</v>
      </c>
      <c r="K51" t="n">
        <v>0</v>
      </c>
      <c r="L51" t="n">
        <v>0</v>
      </c>
      <c r="M51" t="n">
        <v>0</v>
      </c>
      <c r="N51" t="n">
        <v>0</v>
      </c>
      <c r="O51" t="n">
        <v>2</v>
      </c>
      <c r="P51" t="n">
        <v>0</v>
      </c>
      <c r="Q51" t="n">
        <v>4</v>
      </c>
      <c r="R51" s="2" t="inlineStr">
        <is>
          <t>Entita
Spillkråka
Grönsiska
Kungsfågel</t>
        </is>
      </c>
      <c r="S51">
        <f>HYPERLINK("https://klasma.github.io/Logging_1293/artfynd/A 4598-2025 artfynd.xlsx", "A 4598-2025")</f>
        <v/>
      </c>
      <c r="T51">
        <f>HYPERLINK("https://klasma.github.io/Logging_1293/kartor/A 4598-2025 karta.png", "A 4598-2025")</f>
        <v/>
      </c>
      <c r="V51">
        <f>HYPERLINK("https://klasma.github.io/Logging_1293/klagomål/A 4598-2025 FSC-klagomål.docx", "A 4598-2025")</f>
        <v/>
      </c>
      <c r="W51">
        <f>HYPERLINK("https://klasma.github.io/Logging_1293/klagomålsmail/A 4598-2025 FSC-klagomål mail.docx", "A 4598-2025")</f>
        <v/>
      </c>
      <c r="X51">
        <f>HYPERLINK("https://klasma.github.io/Logging_1293/tillsyn/A 4598-2025 tillsynsbegäran.docx", "A 4598-2025")</f>
        <v/>
      </c>
      <c r="Y51">
        <f>HYPERLINK("https://klasma.github.io/Logging_1293/tillsynsmail/A 4598-2025 tillsynsbegäran mail.docx", "A 4598-2025")</f>
        <v/>
      </c>
      <c r="Z51">
        <f>HYPERLINK("https://klasma.github.io/Logging_1293/fåglar/A 4598-2025 prioriterade fågelarter.docx", "A 4598-2025")</f>
        <v/>
      </c>
    </row>
    <row r="52" ht="15" customHeight="1">
      <c r="A52" t="inlineStr">
        <is>
          <t>A 1481-2022</t>
        </is>
      </c>
      <c r="B52" s="1" t="n">
        <v>44573</v>
      </c>
      <c r="C52" s="1" t="n">
        <v>45962</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45962</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45962</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45962</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5468-2024</t>
        </is>
      </c>
      <c r="B56" s="1" t="n">
        <v>45332.73255787037</v>
      </c>
      <c r="C56" s="1" t="n">
        <v>45962</v>
      </c>
      <c r="D56" t="inlineStr">
        <is>
          <t>SKÅNE LÄN</t>
        </is>
      </c>
      <c r="E56" t="inlineStr">
        <is>
          <t>ÖSTRA GÖINGE</t>
        </is>
      </c>
      <c r="G56" t="n">
        <v>3.2</v>
      </c>
      <c r="H56" t="n">
        <v>0</v>
      </c>
      <c r="I56" t="n">
        <v>0</v>
      </c>
      <c r="J56" t="n">
        <v>2</v>
      </c>
      <c r="K56" t="n">
        <v>1</v>
      </c>
      <c r="L56" t="n">
        <v>0</v>
      </c>
      <c r="M56" t="n">
        <v>0</v>
      </c>
      <c r="N56" t="n">
        <v>0</v>
      </c>
      <c r="O56" t="n">
        <v>3</v>
      </c>
      <c r="P56" t="n">
        <v>1</v>
      </c>
      <c r="Q56" t="n">
        <v>3</v>
      </c>
      <c r="R56" s="2" t="inlineStr">
        <is>
          <t>Slåttergubbe
Månlåsbräken
Svinrot</t>
        </is>
      </c>
      <c r="S56">
        <f>HYPERLINK("https://klasma.github.io/Logging_1256/artfynd/A 5468-2024 artfynd.xlsx", "A 5468-2024")</f>
        <v/>
      </c>
      <c r="T56">
        <f>HYPERLINK("https://klasma.github.io/Logging_1256/kartor/A 5468-2024 karta.png", "A 5468-2024")</f>
        <v/>
      </c>
      <c r="V56">
        <f>HYPERLINK("https://klasma.github.io/Logging_1256/klagomål/A 5468-2024 FSC-klagomål.docx", "A 5468-2024")</f>
        <v/>
      </c>
      <c r="W56">
        <f>HYPERLINK("https://klasma.github.io/Logging_1256/klagomålsmail/A 5468-2024 FSC-klagomål mail.docx", "A 5468-2024")</f>
        <v/>
      </c>
      <c r="X56">
        <f>HYPERLINK("https://klasma.github.io/Logging_1256/tillsyn/A 5468-2024 tillsynsbegäran.docx", "A 5468-2024")</f>
        <v/>
      </c>
      <c r="Y56">
        <f>HYPERLINK("https://klasma.github.io/Logging_1256/tillsynsmail/A 5468-2024 tillsynsbegäran mail.docx", "A 5468-2024")</f>
        <v/>
      </c>
    </row>
    <row r="57" ht="15" customHeight="1">
      <c r="A57" t="inlineStr">
        <is>
          <t>A 513-2025</t>
        </is>
      </c>
      <c r="B57" s="1" t="n">
        <v>45664</v>
      </c>
      <c r="C57" s="1" t="n">
        <v>45962</v>
      </c>
      <c r="D57" t="inlineStr">
        <is>
          <t>SKÅNE LÄN</t>
        </is>
      </c>
      <c r="E57" t="inlineStr">
        <is>
          <t>KLIPPAN</t>
        </is>
      </c>
      <c r="F57" t="inlineStr">
        <is>
          <t>Sveaskog</t>
        </is>
      </c>
      <c r="G57" t="n">
        <v>8.199999999999999</v>
      </c>
      <c r="H57" t="n">
        <v>3</v>
      </c>
      <c r="I57" t="n">
        <v>0</v>
      </c>
      <c r="J57" t="n">
        <v>2</v>
      </c>
      <c r="K57" t="n">
        <v>0</v>
      </c>
      <c r="L57" t="n">
        <v>0</v>
      </c>
      <c r="M57" t="n">
        <v>0</v>
      </c>
      <c r="N57" t="n">
        <v>0</v>
      </c>
      <c r="O57" t="n">
        <v>2</v>
      </c>
      <c r="P57" t="n">
        <v>0</v>
      </c>
      <c r="Q57" t="n">
        <v>3</v>
      </c>
      <c r="R57" s="2" t="inlineStr">
        <is>
          <t>Spillkråka
Talltita
Revlummer</t>
        </is>
      </c>
      <c r="S57">
        <f>HYPERLINK("https://klasma.github.io/Logging_1276/artfynd/A 513-2025 artfynd.xlsx", "A 513-2025")</f>
        <v/>
      </c>
      <c r="T57">
        <f>HYPERLINK("https://klasma.github.io/Logging_1276/kartor/A 513-2025 karta.png", "A 513-2025")</f>
        <v/>
      </c>
      <c r="V57">
        <f>HYPERLINK("https://klasma.github.io/Logging_1276/klagomål/A 513-2025 FSC-klagomål.docx", "A 513-2025")</f>
        <v/>
      </c>
      <c r="W57">
        <f>HYPERLINK("https://klasma.github.io/Logging_1276/klagomålsmail/A 513-2025 FSC-klagomål mail.docx", "A 513-2025")</f>
        <v/>
      </c>
      <c r="X57">
        <f>HYPERLINK("https://klasma.github.io/Logging_1276/tillsyn/A 513-2025 tillsynsbegäran.docx", "A 513-2025")</f>
        <v/>
      </c>
      <c r="Y57">
        <f>HYPERLINK("https://klasma.github.io/Logging_1276/tillsynsmail/A 513-2025 tillsynsbegäran mail.docx", "A 513-2025")</f>
        <v/>
      </c>
      <c r="Z57">
        <f>HYPERLINK("https://klasma.github.io/Logging_1276/fåglar/A 513-2025 prioriterade fågelarter.docx", "A 513-2025")</f>
        <v/>
      </c>
    </row>
    <row r="58" ht="15" customHeight="1">
      <c r="A58" t="inlineStr">
        <is>
          <t>A 53826-2024</t>
        </is>
      </c>
      <c r="B58" s="1" t="n">
        <v>45615</v>
      </c>
      <c r="C58" s="1" t="n">
        <v>45962</v>
      </c>
      <c r="D58" t="inlineStr">
        <is>
          <t>SKÅNE LÄN</t>
        </is>
      </c>
      <c r="E58" t="inlineStr">
        <is>
          <t>ESLÖV</t>
        </is>
      </c>
      <c r="G58" t="n">
        <v>1.2</v>
      </c>
      <c r="H58" t="n">
        <v>1</v>
      </c>
      <c r="I58" t="n">
        <v>1</v>
      </c>
      <c r="J58" t="n">
        <v>1</v>
      </c>
      <c r="K58" t="n">
        <v>0</v>
      </c>
      <c r="L58" t="n">
        <v>1</v>
      </c>
      <c r="M58" t="n">
        <v>0</v>
      </c>
      <c r="N58" t="n">
        <v>0</v>
      </c>
      <c r="O58" t="n">
        <v>2</v>
      </c>
      <c r="P58" t="n">
        <v>1</v>
      </c>
      <c r="Q58" t="n">
        <v>3</v>
      </c>
      <c r="R58" s="2" t="inlineStr">
        <is>
          <t>Ask
Desmeknopp
Skogsknipprot</t>
        </is>
      </c>
      <c r="S58">
        <f>HYPERLINK("https://klasma.github.io/Logging_1285/artfynd/A 53826-2024 artfynd.xlsx", "A 53826-2024")</f>
        <v/>
      </c>
      <c r="T58">
        <f>HYPERLINK("https://klasma.github.io/Logging_1285/kartor/A 53826-2024 karta.png", "A 53826-2024")</f>
        <v/>
      </c>
      <c r="V58">
        <f>HYPERLINK("https://klasma.github.io/Logging_1285/klagomål/A 53826-2024 FSC-klagomål.docx", "A 53826-2024")</f>
        <v/>
      </c>
      <c r="W58">
        <f>HYPERLINK("https://klasma.github.io/Logging_1285/klagomålsmail/A 53826-2024 FSC-klagomål mail.docx", "A 53826-2024")</f>
        <v/>
      </c>
      <c r="X58">
        <f>HYPERLINK("https://klasma.github.io/Logging_1285/tillsyn/A 53826-2024 tillsynsbegäran.docx", "A 53826-2024")</f>
        <v/>
      </c>
      <c r="Y58">
        <f>HYPERLINK("https://klasma.github.io/Logging_1285/tillsynsmail/A 53826-2024 tillsynsbegäran mail.docx", "A 53826-2024")</f>
        <v/>
      </c>
    </row>
    <row r="59" ht="15" customHeight="1">
      <c r="A59" t="inlineStr">
        <is>
          <t>A 54644-2023</t>
        </is>
      </c>
      <c r="B59" s="1" t="n">
        <v>45235</v>
      </c>
      <c r="C59" s="1" t="n">
        <v>45962</v>
      </c>
      <c r="D59" t="inlineStr">
        <is>
          <t>SKÅNE LÄN</t>
        </is>
      </c>
      <c r="E59" t="inlineStr">
        <is>
          <t>KLIPPAN</t>
        </is>
      </c>
      <c r="G59" t="n">
        <v>8.1</v>
      </c>
      <c r="H59" t="n">
        <v>2</v>
      </c>
      <c r="I59" t="n">
        <v>1</v>
      </c>
      <c r="J59" t="n">
        <v>1</v>
      </c>
      <c r="K59" t="n">
        <v>0</v>
      </c>
      <c r="L59" t="n">
        <v>0</v>
      </c>
      <c r="M59" t="n">
        <v>0</v>
      </c>
      <c r="N59" t="n">
        <v>0</v>
      </c>
      <c r="O59" t="n">
        <v>1</v>
      </c>
      <c r="P59" t="n">
        <v>0</v>
      </c>
      <c r="Q59" t="n">
        <v>3</v>
      </c>
      <c r="R59" s="2" t="inlineStr">
        <is>
          <t>Spillkråka
Havstulpanlav
Skogsduva</t>
        </is>
      </c>
      <c r="S59">
        <f>HYPERLINK("https://klasma.github.io/Logging_1276/artfynd/A 54644-2023 artfynd.xlsx", "A 54644-2023")</f>
        <v/>
      </c>
      <c r="T59">
        <f>HYPERLINK("https://klasma.github.io/Logging_1276/kartor/A 54644-2023 karta.png", "A 54644-2023")</f>
        <v/>
      </c>
      <c r="V59">
        <f>HYPERLINK("https://klasma.github.io/Logging_1276/klagomål/A 54644-2023 FSC-klagomål.docx", "A 54644-2023")</f>
        <v/>
      </c>
      <c r="W59">
        <f>HYPERLINK("https://klasma.github.io/Logging_1276/klagomålsmail/A 54644-2023 FSC-klagomål mail.docx", "A 54644-2023")</f>
        <v/>
      </c>
      <c r="X59">
        <f>HYPERLINK("https://klasma.github.io/Logging_1276/tillsyn/A 54644-2023 tillsynsbegäran.docx", "A 54644-2023")</f>
        <v/>
      </c>
      <c r="Y59">
        <f>HYPERLINK("https://klasma.github.io/Logging_1276/tillsynsmail/A 54644-2023 tillsynsbegäran mail.docx", "A 54644-2023")</f>
        <v/>
      </c>
      <c r="Z59">
        <f>HYPERLINK("https://klasma.github.io/Logging_1276/fåglar/A 54644-2023 prioriterade fågelarter.docx", "A 54644-2023")</f>
        <v/>
      </c>
    </row>
    <row r="60" ht="15" customHeight="1">
      <c r="A60" t="inlineStr">
        <is>
          <t>A 584-2025</t>
        </is>
      </c>
      <c r="B60" s="1" t="n">
        <v>45664.57672453704</v>
      </c>
      <c r="C60" s="1" t="n">
        <v>45962</v>
      </c>
      <c r="D60" t="inlineStr">
        <is>
          <t>SKÅNE LÄN</t>
        </is>
      </c>
      <c r="E60" t="inlineStr">
        <is>
          <t>ÄNGELHOLM</t>
        </is>
      </c>
      <c r="G60" t="n">
        <v>1.2</v>
      </c>
      <c r="H60" t="n">
        <v>3</v>
      </c>
      <c r="I60" t="n">
        <v>0</v>
      </c>
      <c r="J60" t="n">
        <v>2</v>
      </c>
      <c r="K60" t="n">
        <v>0</v>
      </c>
      <c r="L60" t="n">
        <v>0</v>
      </c>
      <c r="M60" t="n">
        <v>0</v>
      </c>
      <c r="N60" t="n">
        <v>0</v>
      </c>
      <c r="O60" t="n">
        <v>2</v>
      </c>
      <c r="P60" t="n">
        <v>0</v>
      </c>
      <c r="Q60" t="n">
        <v>3</v>
      </c>
      <c r="R60" s="2" t="inlineStr">
        <is>
          <t>Entita
Spillkråka
Kungsfågel</t>
        </is>
      </c>
      <c r="S60">
        <f>HYPERLINK("https://klasma.github.io/Logging_1292/artfynd/A 584-2025 artfynd.xlsx", "A 584-2025")</f>
        <v/>
      </c>
      <c r="T60">
        <f>HYPERLINK("https://klasma.github.io/Logging_1292/kartor/A 584-2025 karta.png", "A 584-2025")</f>
        <v/>
      </c>
      <c r="V60">
        <f>HYPERLINK("https://klasma.github.io/Logging_1292/klagomål/A 584-2025 FSC-klagomål.docx", "A 584-2025")</f>
        <v/>
      </c>
      <c r="W60">
        <f>HYPERLINK("https://klasma.github.io/Logging_1292/klagomålsmail/A 584-2025 FSC-klagomål mail.docx", "A 584-2025")</f>
        <v/>
      </c>
      <c r="X60">
        <f>HYPERLINK("https://klasma.github.io/Logging_1292/tillsyn/A 584-2025 tillsynsbegäran.docx", "A 584-2025")</f>
        <v/>
      </c>
      <c r="Y60">
        <f>HYPERLINK("https://klasma.github.io/Logging_1292/tillsynsmail/A 584-2025 tillsynsbegäran mail.docx", "A 584-2025")</f>
        <v/>
      </c>
      <c r="Z60">
        <f>HYPERLINK("https://klasma.github.io/Logging_1292/fåglar/A 584-2025 prioriterade fågelarter.docx", "A 584-2025")</f>
        <v/>
      </c>
    </row>
    <row r="61" ht="15" customHeight="1">
      <c r="A61" t="inlineStr">
        <is>
          <t>A 38101-2024</t>
        </is>
      </c>
      <c r="B61" s="1" t="n">
        <v>45545.36309027778</v>
      </c>
      <c r="C61" s="1" t="n">
        <v>45962</v>
      </c>
      <c r="D61" t="inlineStr">
        <is>
          <t>SKÅNE LÄN</t>
        </is>
      </c>
      <c r="E61" t="inlineStr">
        <is>
          <t>ÖRKELLJUNGA</t>
        </is>
      </c>
      <c r="G61" t="n">
        <v>4</v>
      </c>
      <c r="H61" t="n">
        <v>2</v>
      </c>
      <c r="I61" t="n">
        <v>0</v>
      </c>
      <c r="J61" t="n">
        <v>3</v>
      </c>
      <c r="K61" t="n">
        <v>0</v>
      </c>
      <c r="L61" t="n">
        <v>0</v>
      </c>
      <c r="M61" t="n">
        <v>0</v>
      </c>
      <c r="N61" t="n">
        <v>0</v>
      </c>
      <c r="O61" t="n">
        <v>3</v>
      </c>
      <c r="P61" t="n">
        <v>0</v>
      </c>
      <c r="Q61" t="n">
        <v>3</v>
      </c>
      <c r="R61" s="2" t="inlineStr">
        <is>
          <t>Skrattmås
Vedflikmossa
Ärtsångare</t>
        </is>
      </c>
      <c r="S61">
        <f>HYPERLINK("https://klasma.github.io/Logging_1257/artfynd/A 38101-2024 artfynd.xlsx", "A 38101-2024")</f>
        <v/>
      </c>
      <c r="T61">
        <f>HYPERLINK("https://klasma.github.io/Logging_1257/kartor/A 38101-2024 karta.png", "A 38101-2024")</f>
        <v/>
      </c>
      <c r="V61">
        <f>HYPERLINK("https://klasma.github.io/Logging_1257/klagomål/A 38101-2024 FSC-klagomål.docx", "A 38101-2024")</f>
        <v/>
      </c>
      <c r="W61">
        <f>HYPERLINK("https://klasma.github.io/Logging_1257/klagomålsmail/A 38101-2024 FSC-klagomål mail.docx", "A 38101-2024")</f>
        <v/>
      </c>
      <c r="X61">
        <f>HYPERLINK("https://klasma.github.io/Logging_1257/tillsyn/A 38101-2024 tillsynsbegäran.docx", "A 38101-2024")</f>
        <v/>
      </c>
      <c r="Y61">
        <f>HYPERLINK("https://klasma.github.io/Logging_1257/tillsynsmail/A 38101-2024 tillsynsbegäran mail.docx", "A 38101-2024")</f>
        <v/>
      </c>
      <c r="Z61">
        <f>HYPERLINK("https://klasma.github.io/Logging_1257/fåglar/A 38101-2024 prioriterade fågelarter.docx", "A 38101-2024")</f>
        <v/>
      </c>
    </row>
    <row r="62" ht="15" customHeight="1">
      <c r="A62" t="inlineStr">
        <is>
          <t>A 62060-2022</t>
        </is>
      </c>
      <c r="B62" s="1" t="n">
        <v>44918</v>
      </c>
      <c r="C62" s="1" t="n">
        <v>45962</v>
      </c>
      <c r="D62" t="inlineStr">
        <is>
          <t>SKÅNE LÄN</t>
        </is>
      </c>
      <c r="E62" t="inlineStr">
        <is>
          <t>ÖSTRA GÖINGE</t>
        </is>
      </c>
      <c r="G62" t="n">
        <v>2.7</v>
      </c>
      <c r="H62" t="n">
        <v>0</v>
      </c>
      <c r="I62" t="n">
        <v>1</v>
      </c>
      <c r="J62" t="n">
        <v>2</v>
      </c>
      <c r="K62" t="n">
        <v>0</v>
      </c>
      <c r="L62" t="n">
        <v>0</v>
      </c>
      <c r="M62" t="n">
        <v>0</v>
      </c>
      <c r="N62" t="n">
        <v>0</v>
      </c>
      <c r="O62" t="n">
        <v>2</v>
      </c>
      <c r="P62" t="n">
        <v>0</v>
      </c>
      <c r="Q62" t="n">
        <v>3</v>
      </c>
      <c r="R62" s="2" t="inlineStr">
        <is>
          <t>Desmeknopp
Matt pricklav
Grå skärelav</t>
        </is>
      </c>
      <c r="S62">
        <f>HYPERLINK("https://klasma.github.io/Logging_1256/artfynd/A 62060-2022 artfynd.xlsx", "A 62060-2022")</f>
        <v/>
      </c>
      <c r="T62">
        <f>HYPERLINK("https://klasma.github.io/Logging_1256/kartor/A 62060-2022 karta.png", "A 62060-2022")</f>
        <v/>
      </c>
      <c r="V62">
        <f>HYPERLINK("https://klasma.github.io/Logging_1256/klagomål/A 62060-2022 FSC-klagomål.docx", "A 62060-2022")</f>
        <v/>
      </c>
      <c r="W62">
        <f>HYPERLINK("https://klasma.github.io/Logging_1256/klagomålsmail/A 62060-2022 FSC-klagomål mail.docx", "A 62060-2022")</f>
        <v/>
      </c>
      <c r="X62">
        <f>HYPERLINK("https://klasma.github.io/Logging_1256/tillsyn/A 62060-2022 tillsynsbegäran.docx", "A 62060-2022")</f>
        <v/>
      </c>
      <c r="Y62">
        <f>HYPERLINK("https://klasma.github.io/Logging_1256/tillsynsmail/A 62060-2022 tillsynsbegäran mail.docx", "A 62060-2022")</f>
        <v/>
      </c>
    </row>
    <row r="63" ht="15" customHeight="1">
      <c r="A63" t="inlineStr">
        <is>
          <t>A 51680-2024</t>
        </is>
      </c>
      <c r="B63" s="1" t="n">
        <v>45607</v>
      </c>
      <c r="C63" s="1" t="n">
        <v>45962</v>
      </c>
      <c r="D63" t="inlineStr">
        <is>
          <t>SKÅNE LÄN</t>
        </is>
      </c>
      <c r="E63" t="inlineStr">
        <is>
          <t>SKURUP</t>
        </is>
      </c>
      <c r="G63" t="n">
        <v>1.1</v>
      </c>
      <c r="H63" t="n">
        <v>0</v>
      </c>
      <c r="I63" t="n">
        <v>1</v>
      </c>
      <c r="J63" t="n">
        <v>0</v>
      </c>
      <c r="K63" t="n">
        <v>1</v>
      </c>
      <c r="L63" t="n">
        <v>0</v>
      </c>
      <c r="M63" t="n">
        <v>1</v>
      </c>
      <c r="N63" t="n">
        <v>0</v>
      </c>
      <c r="O63" t="n">
        <v>2</v>
      </c>
      <c r="P63" t="n">
        <v>2</v>
      </c>
      <c r="Q63" t="n">
        <v>3</v>
      </c>
      <c r="R63" s="2" t="inlineStr">
        <is>
          <t>Skogsalm
Småvänderot
Stor häxört</t>
        </is>
      </c>
      <c r="S63">
        <f>HYPERLINK("https://klasma.github.io/Logging_1264/artfynd/A 51680-2024 artfynd.xlsx", "A 51680-2024")</f>
        <v/>
      </c>
      <c r="T63">
        <f>HYPERLINK("https://klasma.github.io/Logging_1264/kartor/A 51680-2024 karta.png", "A 51680-2024")</f>
        <v/>
      </c>
      <c r="V63">
        <f>HYPERLINK("https://klasma.github.io/Logging_1264/klagomål/A 51680-2024 FSC-klagomål.docx", "A 51680-2024")</f>
        <v/>
      </c>
      <c r="W63">
        <f>HYPERLINK("https://klasma.github.io/Logging_1264/klagomålsmail/A 51680-2024 FSC-klagomål mail.docx", "A 51680-2024")</f>
        <v/>
      </c>
      <c r="X63">
        <f>HYPERLINK("https://klasma.github.io/Logging_1264/tillsyn/A 51680-2024 tillsynsbegäran.docx", "A 51680-2024")</f>
        <v/>
      </c>
      <c r="Y63">
        <f>HYPERLINK("https://klasma.github.io/Logging_1264/tillsynsmail/A 51680-2024 tillsynsbegäran mail.docx", "A 51680-2024")</f>
        <v/>
      </c>
    </row>
    <row r="64" ht="15" customHeight="1">
      <c r="A64" t="inlineStr">
        <is>
          <t>A 2888-2024</t>
        </is>
      </c>
      <c r="B64" s="1" t="n">
        <v>45315</v>
      </c>
      <c r="C64" s="1" t="n">
        <v>45962</v>
      </c>
      <c r="D64" t="inlineStr">
        <is>
          <t>SKÅNE LÄN</t>
        </is>
      </c>
      <c r="E64" t="inlineStr">
        <is>
          <t>KRISTIANSTAD</t>
        </is>
      </c>
      <c r="G64" t="n">
        <v>10</v>
      </c>
      <c r="H64" t="n">
        <v>0</v>
      </c>
      <c r="I64" t="n">
        <v>2</v>
      </c>
      <c r="J64" t="n">
        <v>0</v>
      </c>
      <c r="K64" t="n">
        <v>1</v>
      </c>
      <c r="L64" t="n">
        <v>0</v>
      </c>
      <c r="M64" t="n">
        <v>0</v>
      </c>
      <c r="N64" t="n">
        <v>0</v>
      </c>
      <c r="O64" t="n">
        <v>1</v>
      </c>
      <c r="P64" t="n">
        <v>1</v>
      </c>
      <c r="Q64" t="n">
        <v>3</v>
      </c>
      <c r="R64" s="2" t="inlineStr">
        <is>
          <t>Flenörtskapuschongfly
Kransrams
Stor häxört</t>
        </is>
      </c>
      <c r="S64">
        <f>HYPERLINK("https://klasma.github.io/Logging_1290/artfynd/A 2888-2024 artfynd.xlsx", "A 2888-2024")</f>
        <v/>
      </c>
      <c r="T64">
        <f>HYPERLINK("https://klasma.github.io/Logging_1290/kartor/A 2888-2024 karta.png", "A 2888-2024")</f>
        <v/>
      </c>
      <c r="V64">
        <f>HYPERLINK("https://klasma.github.io/Logging_1290/klagomål/A 2888-2024 FSC-klagomål.docx", "A 2888-2024")</f>
        <v/>
      </c>
      <c r="W64">
        <f>HYPERLINK("https://klasma.github.io/Logging_1290/klagomålsmail/A 2888-2024 FSC-klagomål mail.docx", "A 2888-2024")</f>
        <v/>
      </c>
      <c r="X64">
        <f>HYPERLINK("https://klasma.github.io/Logging_1290/tillsyn/A 2888-2024 tillsynsbegäran.docx", "A 2888-2024")</f>
        <v/>
      </c>
      <c r="Y64">
        <f>HYPERLINK("https://klasma.github.io/Logging_1290/tillsynsmail/A 2888-2024 tillsynsbegäran mail.docx", "A 2888-2024")</f>
        <v/>
      </c>
    </row>
    <row r="65" ht="15" customHeight="1">
      <c r="A65" t="inlineStr">
        <is>
          <t>A 11648-2024</t>
        </is>
      </c>
      <c r="B65" s="1" t="n">
        <v>45373</v>
      </c>
      <c r="C65" s="1" t="n">
        <v>45962</v>
      </c>
      <c r="D65" t="inlineStr">
        <is>
          <t>SKÅNE LÄN</t>
        </is>
      </c>
      <c r="E65" t="inlineStr">
        <is>
          <t>KÄVLINGE</t>
        </is>
      </c>
      <c r="F65" t="inlineStr">
        <is>
          <t>Övriga Aktiebolag</t>
        </is>
      </c>
      <c r="G65" t="n">
        <v>10.5</v>
      </c>
      <c r="H65" t="n">
        <v>1</v>
      </c>
      <c r="I65" t="n">
        <v>2</v>
      </c>
      <c r="J65" t="n">
        <v>0</v>
      </c>
      <c r="K65" t="n">
        <v>0</v>
      </c>
      <c r="L65" t="n">
        <v>1</v>
      </c>
      <c r="M65" t="n">
        <v>0</v>
      </c>
      <c r="N65" t="n">
        <v>0</v>
      </c>
      <c r="O65" t="n">
        <v>1</v>
      </c>
      <c r="P65" t="n">
        <v>1</v>
      </c>
      <c r="Q65" t="n">
        <v>3</v>
      </c>
      <c r="R65" s="2" t="inlineStr">
        <is>
          <t>Ask
Bokoxe
Skogsknipprot</t>
        </is>
      </c>
      <c r="S65">
        <f>HYPERLINK("https://klasma.github.io/Logging_1261/artfynd/A 11648-2024 artfynd.xlsx", "A 11648-2024")</f>
        <v/>
      </c>
      <c r="T65">
        <f>HYPERLINK("https://klasma.github.io/Logging_1261/kartor/A 11648-2024 karta.png", "A 11648-2024")</f>
        <v/>
      </c>
      <c r="V65">
        <f>HYPERLINK("https://klasma.github.io/Logging_1261/klagomål/A 11648-2024 FSC-klagomål.docx", "A 11648-2024")</f>
        <v/>
      </c>
      <c r="W65">
        <f>HYPERLINK("https://klasma.github.io/Logging_1261/klagomålsmail/A 11648-2024 FSC-klagomål mail.docx", "A 11648-2024")</f>
        <v/>
      </c>
      <c r="X65">
        <f>HYPERLINK("https://klasma.github.io/Logging_1261/tillsyn/A 11648-2024 tillsynsbegäran.docx", "A 11648-2024")</f>
        <v/>
      </c>
      <c r="Y65">
        <f>HYPERLINK("https://klasma.github.io/Logging_1261/tillsynsmail/A 11648-2024 tillsynsbegäran mail.docx", "A 11648-2024")</f>
        <v/>
      </c>
    </row>
    <row r="66" ht="15" customHeight="1">
      <c r="A66" t="inlineStr">
        <is>
          <t>A 31926-2024</t>
        </is>
      </c>
      <c r="B66" s="1" t="n">
        <v>45510</v>
      </c>
      <c r="C66" s="1" t="n">
        <v>45962</v>
      </c>
      <c r="D66" t="inlineStr">
        <is>
          <t>SKÅNE LÄN</t>
        </is>
      </c>
      <c r="E66" t="inlineStr">
        <is>
          <t>ÖRKELLJUNGA</t>
        </is>
      </c>
      <c r="G66" t="n">
        <v>1.9</v>
      </c>
      <c r="H66" t="n">
        <v>0</v>
      </c>
      <c r="I66" t="n">
        <v>3</v>
      </c>
      <c r="J66" t="n">
        <v>0</v>
      </c>
      <c r="K66" t="n">
        <v>0</v>
      </c>
      <c r="L66" t="n">
        <v>0</v>
      </c>
      <c r="M66" t="n">
        <v>0</v>
      </c>
      <c r="N66" t="n">
        <v>0</v>
      </c>
      <c r="O66" t="n">
        <v>0</v>
      </c>
      <c r="P66" t="n">
        <v>0</v>
      </c>
      <c r="Q66" t="n">
        <v>3</v>
      </c>
      <c r="R66" s="2" t="inlineStr">
        <is>
          <t>Havstulpanlav
Klippfrullania
Västlig hakmossa</t>
        </is>
      </c>
      <c r="S66">
        <f>HYPERLINK("https://klasma.github.io/Logging_1257/artfynd/A 31926-2024 artfynd.xlsx", "A 31926-2024")</f>
        <v/>
      </c>
      <c r="T66">
        <f>HYPERLINK("https://klasma.github.io/Logging_1257/kartor/A 31926-2024 karta.png", "A 31926-2024")</f>
        <v/>
      </c>
      <c r="V66">
        <f>HYPERLINK("https://klasma.github.io/Logging_1257/klagomål/A 31926-2024 FSC-klagomål.docx", "A 31926-2024")</f>
        <v/>
      </c>
      <c r="W66">
        <f>HYPERLINK("https://klasma.github.io/Logging_1257/klagomålsmail/A 31926-2024 FSC-klagomål mail.docx", "A 31926-2024")</f>
        <v/>
      </c>
      <c r="X66">
        <f>HYPERLINK("https://klasma.github.io/Logging_1257/tillsyn/A 31926-2024 tillsynsbegäran.docx", "A 31926-2024")</f>
        <v/>
      </c>
      <c r="Y66">
        <f>HYPERLINK("https://klasma.github.io/Logging_1257/tillsynsmail/A 31926-2024 tillsynsbegäran mail.docx", "A 31926-2024")</f>
        <v/>
      </c>
    </row>
    <row r="67" ht="15" customHeight="1">
      <c r="A67" t="inlineStr">
        <is>
          <t>A 44585-2023</t>
        </is>
      </c>
      <c r="B67" s="1" t="n">
        <v>45189</v>
      </c>
      <c r="C67" s="1" t="n">
        <v>45962</v>
      </c>
      <c r="D67" t="inlineStr">
        <is>
          <t>SKÅNE LÄN</t>
        </is>
      </c>
      <c r="E67" t="inlineStr">
        <is>
          <t>KRISTIANSTAD</t>
        </is>
      </c>
      <c r="G67" t="n">
        <v>1.4</v>
      </c>
      <c r="H67" t="n">
        <v>1</v>
      </c>
      <c r="I67" t="n">
        <v>1</v>
      </c>
      <c r="J67" t="n">
        <v>0</v>
      </c>
      <c r="K67" t="n">
        <v>1</v>
      </c>
      <c r="L67" t="n">
        <v>0</v>
      </c>
      <c r="M67" t="n">
        <v>0</v>
      </c>
      <c r="N67" t="n">
        <v>0</v>
      </c>
      <c r="O67" t="n">
        <v>1</v>
      </c>
      <c r="P67" t="n">
        <v>1</v>
      </c>
      <c r="Q67" t="n">
        <v>3</v>
      </c>
      <c r="R67" s="2" t="inlineStr">
        <is>
          <t>Sydlig gyllenspindling
Piskbaronmossa
Kopparödla</t>
        </is>
      </c>
      <c r="S67">
        <f>HYPERLINK("https://klasma.github.io/Logging_1290/artfynd/A 44585-2023 artfynd.xlsx", "A 44585-2023")</f>
        <v/>
      </c>
      <c r="T67">
        <f>HYPERLINK("https://klasma.github.io/Logging_1290/kartor/A 44585-2023 karta.png", "A 44585-2023")</f>
        <v/>
      </c>
      <c r="V67">
        <f>HYPERLINK("https://klasma.github.io/Logging_1290/klagomål/A 44585-2023 FSC-klagomål.docx", "A 44585-2023")</f>
        <v/>
      </c>
      <c r="W67">
        <f>HYPERLINK("https://klasma.github.io/Logging_1290/klagomålsmail/A 44585-2023 FSC-klagomål mail.docx", "A 44585-2023")</f>
        <v/>
      </c>
      <c r="X67">
        <f>HYPERLINK("https://klasma.github.io/Logging_1290/tillsyn/A 44585-2023 tillsynsbegäran.docx", "A 44585-2023")</f>
        <v/>
      </c>
      <c r="Y67">
        <f>HYPERLINK("https://klasma.github.io/Logging_1290/tillsynsmail/A 44585-2023 tillsynsbegäran mail.docx", "A 44585-2023")</f>
        <v/>
      </c>
    </row>
    <row r="68" ht="15" customHeight="1">
      <c r="A68" t="inlineStr">
        <is>
          <t>A 2018-2024</t>
        </is>
      </c>
      <c r="B68" s="1" t="n">
        <v>45308</v>
      </c>
      <c r="C68" s="1" t="n">
        <v>45962</v>
      </c>
      <c r="D68" t="inlineStr">
        <is>
          <t>SKÅNE LÄN</t>
        </is>
      </c>
      <c r="E68" t="inlineStr">
        <is>
          <t>TOMELILLA</t>
        </is>
      </c>
      <c r="G68" t="n">
        <v>17.2</v>
      </c>
      <c r="H68" t="n">
        <v>1</v>
      </c>
      <c r="I68" t="n">
        <v>1</v>
      </c>
      <c r="J68" t="n">
        <v>1</v>
      </c>
      <c r="K68" t="n">
        <v>0</v>
      </c>
      <c r="L68" t="n">
        <v>0</v>
      </c>
      <c r="M68" t="n">
        <v>0</v>
      </c>
      <c r="N68" t="n">
        <v>0</v>
      </c>
      <c r="O68" t="n">
        <v>1</v>
      </c>
      <c r="P68" t="n">
        <v>0</v>
      </c>
      <c r="Q68" t="n">
        <v>3</v>
      </c>
      <c r="R68" s="2" t="inlineStr">
        <is>
          <t>Åkerkulla
Västlig hakmossa
Röd glada</t>
        </is>
      </c>
      <c r="S68">
        <f>HYPERLINK("https://klasma.github.io/Logging_1270/artfynd/A 2018-2024 artfynd.xlsx", "A 2018-2024")</f>
        <v/>
      </c>
      <c r="T68">
        <f>HYPERLINK("https://klasma.github.io/Logging_1270/kartor/A 2018-2024 karta.png", "A 2018-2024")</f>
        <v/>
      </c>
      <c r="V68">
        <f>HYPERLINK("https://klasma.github.io/Logging_1270/klagomål/A 2018-2024 FSC-klagomål.docx", "A 2018-2024")</f>
        <v/>
      </c>
      <c r="W68">
        <f>HYPERLINK("https://klasma.github.io/Logging_1270/klagomålsmail/A 2018-2024 FSC-klagomål mail.docx", "A 2018-2024")</f>
        <v/>
      </c>
      <c r="X68">
        <f>HYPERLINK("https://klasma.github.io/Logging_1270/tillsyn/A 2018-2024 tillsynsbegäran.docx", "A 2018-2024")</f>
        <v/>
      </c>
      <c r="Y68">
        <f>HYPERLINK("https://klasma.github.io/Logging_1270/tillsynsmail/A 2018-2024 tillsynsbegäran mail.docx", "A 2018-2024")</f>
        <v/>
      </c>
      <c r="Z68">
        <f>HYPERLINK("https://klasma.github.io/Logging_1270/fåglar/A 2018-2024 prioriterade fågelarter.docx", "A 2018-2024")</f>
        <v/>
      </c>
    </row>
    <row r="69" ht="15" customHeight="1">
      <c r="A69" t="inlineStr">
        <is>
          <t>A 19517-2023</t>
        </is>
      </c>
      <c r="B69" s="1" t="n">
        <v>45050</v>
      </c>
      <c r="C69" s="1" t="n">
        <v>45962</v>
      </c>
      <c r="D69" t="inlineStr">
        <is>
          <t>SKÅNE LÄN</t>
        </is>
      </c>
      <c r="E69" t="inlineStr">
        <is>
          <t>HÖÖR</t>
        </is>
      </c>
      <c r="G69" t="n">
        <v>6.2</v>
      </c>
      <c r="H69" t="n">
        <v>1</v>
      </c>
      <c r="I69" t="n">
        <v>2</v>
      </c>
      <c r="J69" t="n">
        <v>0</v>
      </c>
      <c r="K69" t="n">
        <v>1</v>
      </c>
      <c r="L69" t="n">
        <v>0</v>
      </c>
      <c r="M69" t="n">
        <v>0</v>
      </c>
      <c r="N69" t="n">
        <v>0</v>
      </c>
      <c r="O69" t="n">
        <v>1</v>
      </c>
      <c r="P69" t="n">
        <v>1</v>
      </c>
      <c r="Q69" t="n">
        <v>3</v>
      </c>
      <c r="R69" s="2" t="inlineStr">
        <is>
          <t>Backsippa
Dvärghäxört
Liten stinksvamp</t>
        </is>
      </c>
      <c r="S69">
        <f>HYPERLINK("https://klasma.github.io/Logging_1267/artfynd/A 19517-2023 artfynd.xlsx", "A 19517-2023")</f>
        <v/>
      </c>
      <c r="T69">
        <f>HYPERLINK("https://klasma.github.io/Logging_1267/kartor/A 19517-2023 karta.png", "A 19517-2023")</f>
        <v/>
      </c>
      <c r="V69">
        <f>HYPERLINK("https://klasma.github.io/Logging_1267/klagomål/A 19517-2023 FSC-klagomål.docx", "A 19517-2023")</f>
        <v/>
      </c>
      <c r="W69">
        <f>HYPERLINK("https://klasma.github.io/Logging_1267/klagomålsmail/A 19517-2023 FSC-klagomål mail.docx", "A 19517-2023")</f>
        <v/>
      </c>
      <c r="X69">
        <f>HYPERLINK("https://klasma.github.io/Logging_1267/tillsyn/A 19517-2023 tillsynsbegäran.docx", "A 19517-2023")</f>
        <v/>
      </c>
      <c r="Y69">
        <f>HYPERLINK("https://klasma.github.io/Logging_1267/tillsynsmail/A 19517-2023 tillsynsbegäran mail.docx", "A 19517-2023")</f>
        <v/>
      </c>
    </row>
    <row r="70" ht="15" customHeight="1">
      <c r="A70" t="inlineStr">
        <is>
          <t>A 46256-2024</t>
        </is>
      </c>
      <c r="B70" s="1" t="n">
        <v>45581</v>
      </c>
      <c r="C70" s="1" t="n">
        <v>45962</v>
      </c>
      <c r="D70" t="inlineStr">
        <is>
          <t>SKÅNE LÄN</t>
        </is>
      </c>
      <c r="E70" t="inlineStr">
        <is>
          <t>KLIPPAN</t>
        </is>
      </c>
      <c r="F70" t="inlineStr">
        <is>
          <t>Sveaskog</t>
        </is>
      </c>
      <c r="G70" t="n">
        <v>3.1</v>
      </c>
      <c r="H70" t="n">
        <v>1</v>
      </c>
      <c r="I70" t="n">
        <v>2</v>
      </c>
      <c r="J70" t="n">
        <v>1</v>
      </c>
      <c r="K70" t="n">
        <v>0</v>
      </c>
      <c r="L70" t="n">
        <v>0</v>
      </c>
      <c r="M70" t="n">
        <v>0</v>
      </c>
      <c r="N70" t="n">
        <v>0</v>
      </c>
      <c r="O70" t="n">
        <v>1</v>
      </c>
      <c r="P70" t="n">
        <v>0</v>
      </c>
      <c r="Q70" t="n">
        <v>3</v>
      </c>
      <c r="R70" s="2" t="inlineStr">
        <is>
          <t>Spillkråka
Rostfläck
Västlig hakmossa</t>
        </is>
      </c>
      <c r="S70">
        <f>HYPERLINK("https://klasma.github.io/Logging_1276/artfynd/A 46256-2024 artfynd.xlsx", "A 46256-2024")</f>
        <v/>
      </c>
      <c r="T70">
        <f>HYPERLINK("https://klasma.github.io/Logging_1276/kartor/A 46256-2024 karta.png", "A 46256-2024")</f>
        <v/>
      </c>
      <c r="V70">
        <f>HYPERLINK("https://klasma.github.io/Logging_1276/klagomål/A 46256-2024 FSC-klagomål.docx", "A 46256-2024")</f>
        <v/>
      </c>
      <c r="W70">
        <f>HYPERLINK("https://klasma.github.io/Logging_1276/klagomålsmail/A 46256-2024 FSC-klagomål mail.docx", "A 46256-2024")</f>
        <v/>
      </c>
      <c r="X70">
        <f>HYPERLINK("https://klasma.github.io/Logging_1276/tillsyn/A 46256-2024 tillsynsbegäran.docx", "A 46256-2024")</f>
        <v/>
      </c>
      <c r="Y70">
        <f>HYPERLINK("https://klasma.github.io/Logging_1276/tillsynsmail/A 46256-2024 tillsynsbegäran mail.docx", "A 46256-2024")</f>
        <v/>
      </c>
      <c r="Z70">
        <f>HYPERLINK("https://klasma.github.io/Logging_1276/fåglar/A 46256-2024 prioriterade fågelarter.docx", "A 46256-2024")</f>
        <v/>
      </c>
    </row>
    <row r="71" ht="15" customHeight="1">
      <c r="A71" t="inlineStr">
        <is>
          <t>A 27902-2023</t>
        </is>
      </c>
      <c r="B71" s="1" t="n">
        <v>45098</v>
      </c>
      <c r="C71" s="1" t="n">
        <v>45962</v>
      </c>
      <c r="D71" t="inlineStr">
        <is>
          <t>SKÅNE LÄN</t>
        </is>
      </c>
      <c r="E71" t="inlineStr">
        <is>
          <t>HÖÖR</t>
        </is>
      </c>
      <c r="G71" t="n">
        <v>10.3</v>
      </c>
      <c r="H71" t="n">
        <v>0</v>
      </c>
      <c r="I71" t="n">
        <v>1</v>
      </c>
      <c r="J71" t="n">
        <v>0</v>
      </c>
      <c r="K71" t="n">
        <v>1</v>
      </c>
      <c r="L71" t="n">
        <v>0</v>
      </c>
      <c r="M71" t="n">
        <v>1</v>
      </c>
      <c r="N71" t="n">
        <v>0</v>
      </c>
      <c r="O71" t="n">
        <v>2</v>
      </c>
      <c r="P71" t="n">
        <v>2</v>
      </c>
      <c r="Q71" t="n">
        <v>3</v>
      </c>
      <c r="R71" s="2" t="inlineStr">
        <is>
          <t>Skogsalm
Småvänderot
Granbräken</t>
        </is>
      </c>
      <c r="S71">
        <f>HYPERLINK("https://klasma.github.io/Logging_1267/artfynd/A 27902-2023 artfynd.xlsx", "A 27902-2023")</f>
        <v/>
      </c>
      <c r="T71">
        <f>HYPERLINK("https://klasma.github.io/Logging_1267/kartor/A 27902-2023 karta.png", "A 27902-2023")</f>
        <v/>
      </c>
      <c r="V71">
        <f>HYPERLINK("https://klasma.github.io/Logging_1267/klagomål/A 27902-2023 FSC-klagomål.docx", "A 27902-2023")</f>
        <v/>
      </c>
      <c r="W71">
        <f>HYPERLINK("https://klasma.github.io/Logging_1267/klagomålsmail/A 27902-2023 FSC-klagomål mail.docx", "A 27902-2023")</f>
        <v/>
      </c>
      <c r="X71">
        <f>HYPERLINK("https://klasma.github.io/Logging_1267/tillsyn/A 27902-2023 tillsynsbegäran.docx", "A 27902-2023")</f>
        <v/>
      </c>
      <c r="Y71">
        <f>HYPERLINK("https://klasma.github.io/Logging_1267/tillsynsmail/A 27902-2023 tillsynsbegäran mail.docx", "A 27902-2023")</f>
        <v/>
      </c>
    </row>
    <row r="72" ht="15" customHeight="1">
      <c r="A72" t="inlineStr">
        <is>
          <t>A 8253-2025</t>
        </is>
      </c>
      <c r="B72" s="1" t="n">
        <v>45708.49460648148</v>
      </c>
      <c r="C72" s="1" t="n">
        <v>45962</v>
      </c>
      <c r="D72" t="inlineStr">
        <is>
          <t>SKÅNE LÄN</t>
        </is>
      </c>
      <c r="E72" t="inlineStr">
        <is>
          <t>HÄSSLEHOLM</t>
        </is>
      </c>
      <c r="G72" t="n">
        <v>2</v>
      </c>
      <c r="H72" t="n">
        <v>3</v>
      </c>
      <c r="I72" t="n">
        <v>0</v>
      </c>
      <c r="J72" t="n">
        <v>1</v>
      </c>
      <c r="K72" t="n">
        <v>0</v>
      </c>
      <c r="L72" t="n">
        <v>1</v>
      </c>
      <c r="M72" t="n">
        <v>0</v>
      </c>
      <c r="N72" t="n">
        <v>0</v>
      </c>
      <c r="O72" t="n">
        <v>2</v>
      </c>
      <c r="P72" t="n">
        <v>1</v>
      </c>
      <c r="Q72" t="n">
        <v>3</v>
      </c>
      <c r="R72" s="2" t="inlineStr">
        <is>
          <t>Grönfink
Entita
Kungsfågel</t>
        </is>
      </c>
      <c r="S72">
        <f>HYPERLINK("https://klasma.github.io/Logging_1293/artfynd/A 8253-2025 artfynd.xlsx", "A 8253-2025")</f>
        <v/>
      </c>
      <c r="T72">
        <f>HYPERLINK("https://klasma.github.io/Logging_1293/kartor/A 8253-2025 karta.png", "A 8253-2025")</f>
        <v/>
      </c>
      <c r="V72">
        <f>HYPERLINK("https://klasma.github.io/Logging_1293/klagomål/A 8253-2025 FSC-klagomål.docx", "A 8253-2025")</f>
        <v/>
      </c>
      <c r="W72">
        <f>HYPERLINK("https://klasma.github.io/Logging_1293/klagomålsmail/A 8253-2025 FSC-klagomål mail.docx", "A 8253-2025")</f>
        <v/>
      </c>
      <c r="X72">
        <f>HYPERLINK("https://klasma.github.io/Logging_1293/tillsyn/A 8253-2025 tillsynsbegäran.docx", "A 8253-2025")</f>
        <v/>
      </c>
      <c r="Y72">
        <f>HYPERLINK("https://klasma.github.io/Logging_1293/tillsynsmail/A 8253-2025 tillsynsbegäran mail.docx", "A 8253-2025")</f>
        <v/>
      </c>
      <c r="Z72">
        <f>HYPERLINK("https://klasma.github.io/Logging_1293/fåglar/A 8253-2025 prioriterade fågelarter.docx", "A 8253-2025")</f>
        <v/>
      </c>
    </row>
    <row r="73" ht="15" customHeight="1">
      <c r="A73" t="inlineStr">
        <is>
          <t>A 18559-2025</t>
        </is>
      </c>
      <c r="B73" s="1" t="n">
        <v>45763</v>
      </c>
      <c r="C73" s="1" t="n">
        <v>45962</v>
      </c>
      <c r="D73" t="inlineStr">
        <is>
          <t>SKÅNE LÄN</t>
        </is>
      </c>
      <c r="E73" t="inlineStr">
        <is>
          <t>ÄNGELHOLM</t>
        </is>
      </c>
      <c r="G73" t="n">
        <v>3</v>
      </c>
      <c r="H73" t="n">
        <v>3</v>
      </c>
      <c r="I73" t="n">
        <v>0</v>
      </c>
      <c r="J73" t="n">
        <v>2</v>
      </c>
      <c r="K73" t="n">
        <v>0</v>
      </c>
      <c r="L73" t="n">
        <v>0</v>
      </c>
      <c r="M73" t="n">
        <v>0</v>
      </c>
      <c r="N73" t="n">
        <v>0</v>
      </c>
      <c r="O73" t="n">
        <v>2</v>
      </c>
      <c r="P73" t="n">
        <v>0</v>
      </c>
      <c r="Q73" t="n">
        <v>3</v>
      </c>
      <c r="R73" s="2" t="inlineStr">
        <is>
          <t>Grönsångare
Gulsparv
Gröngöling</t>
        </is>
      </c>
      <c r="S73">
        <f>HYPERLINK("https://klasma.github.io/Logging_1292/artfynd/A 18559-2025 artfynd.xlsx", "A 18559-2025")</f>
        <v/>
      </c>
      <c r="T73">
        <f>HYPERLINK("https://klasma.github.io/Logging_1292/kartor/A 18559-2025 karta.png", "A 18559-2025")</f>
        <v/>
      </c>
      <c r="V73">
        <f>HYPERLINK("https://klasma.github.io/Logging_1292/klagomål/A 18559-2025 FSC-klagomål.docx", "A 18559-2025")</f>
        <v/>
      </c>
      <c r="W73">
        <f>HYPERLINK("https://klasma.github.io/Logging_1292/klagomålsmail/A 18559-2025 FSC-klagomål mail.docx", "A 18559-2025")</f>
        <v/>
      </c>
      <c r="X73">
        <f>HYPERLINK("https://klasma.github.io/Logging_1292/tillsyn/A 18559-2025 tillsynsbegäran.docx", "A 18559-2025")</f>
        <v/>
      </c>
      <c r="Y73">
        <f>HYPERLINK("https://klasma.github.io/Logging_1292/tillsynsmail/A 18559-2025 tillsynsbegäran mail.docx", "A 18559-2025")</f>
        <v/>
      </c>
      <c r="Z73">
        <f>HYPERLINK("https://klasma.github.io/Logging_1292/fåglar/A 18559-2025 prioriterade fågelarter.docx", "A 18559-2025")</f>
        <v/>
      </c>
    </row>
    <row r="74" ht="15" customHeight="1">
      <c r="A74" t="inlineStr">
        <is>
          <t>A 27244-2024</t>
        </is>
      </c>
      <c r="B74" s="1" t="n">
        <v>45471.66394675926</v>
      </c>
      <c r="C74" s="1" t="n">
        <v>45962</v>
      </c>
      <c r="D74" t="inlineStr">
        <is>
          <t>SKÅNE LÄN</t>
        </is>
      </c>
      <c r="E74" t="inlineStr">
        <is>
          <t>SVEDALA</t>
        </is>
      </c>
      <c r="G74" t="n">
        <v>1.9</v>
      </c>
      <c r="H74" t="n">
        <v>1</v>
      </c>
      <c r="I74" t="n">
        <v>1</v>
      </c>
      <c r="J74" t="n">
        <v>2</v>
      </c>
      <c r="K74" t="n">
        <v>0</v>
      </c>
      <c r="L74" t="n">
        <v>0</v>
      </c>
      <c r="M74" t="n">
        <v>0</v>
      </c>
      <c r="N74" t="n">
        <v>0</v>
      </c>
      <c r="O74" t="n">
        <v>2</v>
      </c>
      <c r="P74" t="n">
        <v>0</v>
      </c>
      <c r="Q74" t="n">
        <v>3</v>
      </c>
      <c r="R74" s="2" t="inlineStr">
        <is>
          <t>Desmeknopp
Svartvit flugsnappare
Stor häxört</t>
        </is>
      </c>
      <c r="S74">
        <f>HYPERLINK("https://klasma.github.io/Logging_1263/artfynd/A 27244-2024 artfynd.xlsx", "A 27244-2024")</f>
        <v/>
      </c>
      <c r="T74">
        <f>HYPERLINK("https://klasma.github.io/Logging_1263/kartor/A 27244-2024 karta.png", "A 27244-2024")</f>
        <v/>
      </c>
      <c r="V74">
        <f>HYPERLINK("https://klasma.github.io/Logging_1263/klagomål/A 27244-2024 FSC-klagomål.docx", "A 27244-2024")</f>
        <v/>
      </c>
      <c r="W74">
        <f>HYPERLINK("https://klasma.github.io/Logging_1263/klagomålsmail/A 27244-2024 FSC-klagomål mail.docx", "A 27244-2024")</f>
        <v/>
      </c>
      <c r="X74">
        <f>HYPERLINK("https://klasma.github.io/Logging_1263/tillsyn/A 27244-2024 tillsynsbegäran.docx", "A 27244-2024")</f>
        <v/>
      </c>
      <c r="Y74">
        <f>HYPERLINK("https://klasma.github.io/Logging_1263/tillsynsmail/A 27244-2024 tillsynsbegäran mail.docx", "A 27244-2024")</f>
        <v/>
      </c>
      <c r="Z74">
        <f>HYPERLINK("https://klasma.github.io/Logging_1263/fåglar/A 27244-2024 prioriterade fågelarter.docx", "A 27244-2024")</f>
        <v/>
      </c>
    </row>
    <row r="75" ht="15" customHeight="1">
      <c r="A75" t="inlineStr">
        <is>
          <t>A 52039-2021</t>
        </is>
      </c>
      <c r="B75" s="1" t="n">
        <v>44463</v>
      </c>
      <c r="C75" s="1" t="n">
        <v>45962</v>
      </c>
      <c r="D75" t="inlineStr">
        <is>
          <t>SKÅNE LÄN</t>
        </is>
      </c>
      <c r="E75" t="inlineStr">
        <is>
          <t>KRISTIANSTAD</t>
        </is>
      </c>
      <c r="G75" t="n">
        <v>3.1</v>
      </c>
      <c r="H75" t="n">
        <v>3</v>
      </c>
      <c r="I75" t="n">
        <v>0</v>
      </c>
      <c r="J75" t="n">
        <v>1</v>
      </c>
      <c r="K75" t="n">
        <v>0</v>
      </c>
      <c r="L75" t="n">
        <v>0</v>
      </c>
      <c r="M75" t="n">
        <v>0</v>
      </c>
      <c r="N75" t="n">
        <v>0</v>
      </c>
      <c r="O75" t="n">
        <v>1</v>
      </c>
      <c r="P75" t="n">
        <v>0</v>
      </c>
      <c r="Q75" t="n">
        <v>3</v>
      </c>
      <c r="R75" s="2" t="inlineStr">
        <is>
          <t>Entita
Järnsparv
Gullviva</t>
        </is>
      </c>
      <c r="S75">
        <f>HYPERLINK("https://klasma.github.io/Logging_1290/artfynd/A 52039-2021 artfynd.xlsx", "A 52039-2021")</f>
        <v/>
      </c>
      <c r="T75">
        <f>HYPERLINK("https://klasma.github.io/Logging_1290/kartor/A 52039-2021 karta.png", "A 52039-2021")</f>
        <v/>
      </c>
      <c r="V75">
        <f>HYPERLINK("https://klasma.github.io/Logging_1290/klagomål/A 52039-2021 FSC-klagomål.docx", "A 52039-2021")</f>
        <v/>
      </c>
      <c r="W75">
        <f>HYPERLINK("https://klasma.github.io/Logging_1290/klagomålsmail/A 52039-2021 FSC-klagomål mail.docx", "A 52039-2021")</f>
        <v/>
      </c>
      <c r="X75">
        <f>HYPERLINK("https://klasma.github.io/Logging_1290/tillsyn/A 52039-2021 tillsynsbegäran.docx", "A 52039-2021")</f>
        <v/>
      </c>
      <c r="Y75">
        <f>HYPERLINK("https://klasma.github.io/Logging_1290/tillsynsmail/A 52039-2021 tillsynsbegäran mail.docx", "A 52039-2021")</f>
        <v/>
      </c>
      <c r="Z75">
        <f>HYPERLINK("https://klasma.github.io/Logging_1290/fåglar/A 52039-2021 prioriterade fågelarter.docx", "A 52039-2021")</f>
        <v/>
      </c>
    </row>
    <row r="76" ht="15" customHeight="1">
      <c r="A76" t="inlineStr">
        <is>
          <t>A 3253-2025</t>
        </is>
      </c>
      <c r="B76" s="1" t="n">
        <v>45679</v>
      </c>
      <c r="C76" s="1" t="n">
        <v>45962</v>
      </c>
      <c r="D76" t="inlineStr">
        <is>
          <t>SKÅNE LÄN</t>
        </is>
      </c>
      <c r="E76" t="inlineStr">
        <is>
          <t>YSTAD</t>
        </is>
      </c>
      <c r="F76" t="inlineStr">
        <is>
          <t>Övriga Aktiebolag</t>
        </is>
      </c>
      <c r="G76" t="n">
        <v>2.5</v>
      </c>
      <c r="H76" t="n">
        <v>1</v>
      </c>
      <c r="I76" t="n">
        <v>2</v>
      </c>
      <c r="J76" t="n">
        <v>0</v>
      </c>
      <c r="K76" t="n">
        <v>0</v>
      </c>
      <c r="L76" t="n">
        <v>0</v>
      </c>
      <c r="M76" t="n">
        <v>1</v>
      </c>
      <c r="N76" t="n">
        <v>0</v>
      </c>
      <c r="O76" t="n">
        <v>1</v>
      </c>
      <c r="P76" t="n">
        <v>1</v>
      </c>
      <c r="Q76" t="n">
        <v>3</v>
      </c>
      <c r="R76" s="2" t="inlineStr">
        <is>
          <t>Gotländsk hättemossa
Lönnlav
Strävlosta</t>
        </is>
      </c>
      <c r="S76">
        <f>HYPERLINK("https://klasma.github.io/Logging_1286/artfynd/A 3253-2025 artfynd.xlsx", "A 3253-2025")</f>
        <v/>
      </c>
      <c r="T76">
        <f>HYPERLINK("https://klasma.github.io/Logging_1286/kartor/A 3253-2025 karta.png", "A 3253-2025")</f>
        <v/>
      </c>
      <c r="V76">
        <f>HYPERLINK("https://klasma.github.io/Logging_1286/klagomål/A 3253-2025 FSC-klagomål.docx", "A 3253-2025")</f>
        <v/>
      </c>
      <c r="W76">
        <f>HYPERLINK("https://klasma.github.io/Logging_1286/klagomålsmail/A 3253-2025 FSC-klagomål mail.docx", "A 3253-2025")</f>
        <v/>
      </c>
      <c r="X76">
        <f>HYPERLINK("https://klasma.github.io/Logging_1286/tillsyn/A 3253-2025 tillsynsbegäran.docx", "A 3253-2025")</f>
        <v/>
      </c>
      <c r="Y76">
        <f>HYPERLINK("https://klasma.github.io/Logging_1286/tillsynsmail/A 3253-2025 tillsynsbegäran mail.docx", "A 3253-2025")</f>
        <v/>
      </c>
    </row>
    <row r="77" ht="15" customHeight="1">
      <c r="A77" t="inlineStr">
        <is>
          <t>A 57726-2024</t>
        </is>
      </c>
      <c r="B77" s="1" t="n">
        <v>45630.70673611111</v>
      </c>
      <c r="C77" s="1" t="n">
        <v>45962</v>
      </c>
      <c r="D77" t="inlineStr">
        <is>
          <t>SKÅNE LÄN</t>
        </is>
      </c>
      <c r="E77" t="inlineStr">
        <is>
          <t>LUND</t>
        </is>
      </c>
      <c r="G77" t="n">
        <v>11.4</v>
      </c>
      <c r="H77" t="n">
        <v>2</v>
      </c>
      <c r="I77" t="n">
        <v>0</v>
      </c>
      <c r="J77" t="n">
        <v>2</v>
      </c>
      <c r="K77" t="n">
        <v>1</v>
      </c>
      <c r="L77" t="n">
        <v>0</v>
      </c>
      <c r="M77" t="n">
        <v>0</v>
      </c>
      <c r="N77" t="n">
        <v>0</v>
      </c>
      <c r="O77" t="n">
        <v>3</v>
      </c>
      <c r="P77" t="n">
        <v>1</v>
      </c>
      <c r="Q77" t="n">
        <v>3</v>
      </c>
      <c r="R77" s="2" t="inlineStr">
        <is>
          <t>Silkesslidskivling
Duvhök
Grönsångare</t>
        </is>
      </c>
      <c r="S77">
        <f>HYPERLINK("https://klasma.github.io/Logging_1281/artfynd/A 57726-2024 artfynd.xlsx", "A 57726-2024")</f>
        <v/>
      </c>
      <c r="T77">
        <f>HYPERLINK("https://klasma.github.io/Logging_1281/kartor/A 57726-2024 karta.png", "A 57726-2024")</f>
        <v/>
      </c>
      <c r="V77">
        <f>HYPERLINK("https://klasma.github.io/Logging_1281/klagomål/A 57726-2024 FSC-klagomål.docx", "A 57726-2024")</f>
        <v/>
      </c>
      <c r="W77">
        <f>HYPERLINK("https://klasma.github.io/Logging_1281/klagomålsmail/A 57726-2024 FSC-klagomål mail.docx", "A 57726-2024")</f>
        <v/>
      </c>
      <c r="X77">
        <f>HYPERLINK("https://klasma.github.io/Logging_1281/tillsyn/A 57726-2024 tillsynsbegäran.docx", "A 57726-2024")</f>
        <v/>
      </c>
      <c r="Y77">
        <f>HYPERLINK("https://klasma.github.io/Logging_1281/tillsynsmail/A 57726-2024 tillsynsbegäran mail.docx", "A 57726-2024")</f>
        <v/>
      </c>
      <c r="Z77">
        <f>HYPERLINK("https://klasma.github.io/Logging_1281/fåglar/A 57726-2024 prioriterade fågelarter.docx", "A 57726-2024")</f>
        <v/>
      </c>
    </row>
    <row r="78" ht="15" customHeight="1">
      <c r="A78" t="inlineStr">
        <is>
          <t>A 7435-2025</t>
        </is>
      </c>
      <c r="B78" s="1" t="n">
        <v>45702</v>
      </c>
      <c r="C78" s="1" t="n">
        <v>45962</v>
      </c>
      <c r="D78" t="inlineStr">
        <is>
          <t>SKÅNE LÄN</t>
        </is>
      </c>
      <c r="E78" t="inlineStr">
        <is>
          <t>KRISTIANSTAD</t>
        </is>
      </c>
      <c r="F78" t="inlineStr">
        <is>
          <t>Kyrkan</t>
        </is>
      </c>
      <c r="G78" t="n">
        <v>9.300000000000001</v>
      </c>
      <c r="H78" t="n">
        <v>0</v>
      </c>
      <c r="I78" t="n">
        <v>0</v>
      </c>
      <c r="J78" t="n">
        <v>3</v>
      </c>
      <c r="K78" t="n">
        <v>0</v>
      </c>
      <c r="L78" t="n">
        <v>0</v>
      </c>
      <c r="M78" t="n">
        <v>0</v>
      </c>
      <c r="N78" t="n">
        <v>0</v>
      </c>
      <c r="O78" t="n">
        <v>3</v>
      </c>
      <c r="P78" t="n">
        <v>0</v>
      </c>
      <c r="Q78" t="n">
        <v>3</v>
      </c>
      <c r="R78" s="2" t="inlineStr">
        <is>
          <t>Backtimjan
Solvända
Sommarfibbla</t>
        </is>
      </c>
      <c r="S78">
        <f>HYPERLINK("https://klasma.github.io/Logging_1290/artfynd/A 7435-2025 artfynd.xlsx", "A 7435-2025")</f>
        <v/>
      </c>
      <c r="T78">
        <f>HYPERLINK("https://klasma.github.io/Logging_1290/kartor/A 7435-2025 karta.png", "A 7435-2025")</f>
        <v/>
      </c>
      <c r="V78">
        <f>HYPERLINK("https://klasma.github.io/Logging_1290/klagomål/A 7435-2025 FSC-klagomål.docx", "A 7435-2025")</f>
        <v/>
      </c>
      <c r="W78">
        <f>HYPERLINK("https://klasma.github.io/Logging_1290/klagomålsmail/A 7435-2025 FSC-klagomål mail.docx", "A 7435-2025")</f>
        <v/>
      </c>
      <c r="X78">
        <f>HYPERLINK("https://klasma.github.io/Logging_1290/tillsyn/A 7435-2025 tillsynsbegäran.docx", "A 7435-2025")</f>
        <v/>
      </c>
      <c r="Y78">
        <f>HYPERLINK("https://klasma.github.io/Logging_1290/tillsynsmail/A 7435-2025 tillsynsbegäran mail.docx", "A 7435-2025")</f>
        <v/>
      </c>
    </row>
    <row r="79" ht="15" customHeight="1">
      <c r="A79" t="inlineStr">
        <is>
          <t>A 20193-2024</t>
        </is>
      </c>
      <c r="B79" s="1" t="n">
        <v>45434</v>
      </c>
      <c r="C79" s="1" t="n">
        <v>45962</v>
      </c>
      <c r="D79" t="inlineStr">
        <is>
          <t>SKÅNE LÄN</t>
        </is>
      </c>
      <c r="E79" t="inlineStr">
        <is>
          <t>HÖRBY</t>
        </is>
      </c>
      <c r="G79" t="n">
        <v>11.2</v>
      </c>
      <c r="H79" t="n">
        <v>0</v>
      </c>
      <c r="I79" t="n">
        <v>3</v>
      </c>
      <c r="J79" t="n">
        <v>0</v>
      </c>
      <c r="K79" t="n">
        <v>0</v>
      </c>
      <c r="L79" t="n">
        <v>0</v>
      </c>
      <c r="M79" t="n">
        <v>0</v>
      </c>
      <c r="N79" t="n">
        <v>0</v>
      </c>
      <c r="O79" t="n">
        <v>0</v>
      </c>
      <c r="P79" t="n">
        <v>0</v>
      </c>
      <c r="Q79" t="n">
        <v>3</v>
      </c>
      <c r="R79" s="2" t="inlineStr">
        <is>
          <t>Strutbräken
Vätteros
Vårärt</t>
        </is>
      </c>
      <c r="S79">
        <f>HYPERLINK("https://klasma.github.io/Logging_1266/artfynd/A 20193-2024 artfynd.xlsx", "A 20193-2024")</f>
        <v/>
      </c>
      <c r="T79">
        <f>HYPERLINK("https://klasma.github.io/Logging_1266/kartor/A 20193-2024 karta.png", "A 20193-2024")</f>
        <v/>
      </c>
      <c r="V79">
        <f>HYPERLINK("https://klasma.github.io/Logging_1266/klagomål/A 20193-2024 FSC-klagomål.docx", "A 20193-2024")</f>
        <v/>
      </c>
      <c r="W79">
        <f>HYPERLINK("https://klasma.github.io/Logging_1266/klagomålsmail/A 20193-2024 FSC-klagomål mail.docx", "A 20193-2024")</f>
        <v/>
      </c>
      <c r="X79">
        <f>HYPERLINK("https://klasma.github.io/Logging_1266/tillsyn/A 20193-2024 tillsynsbegäran.docx", "A 20193-2024")</f>
        <v/>
      </c>
      <c r="Y79">
        <f>HYPERLINK("https://klasma.github.io/Logging_1266/tillsynsmail/A 20193-2024 tillsynsbegäran mail.docx", "A 20193-2024")</f>
        <v/>
      </c>
    </row>
    <row r="80" ht="15" customHeight="1">
      <c r="A80" t="inlineStr">
        <is>
          <t>A 7616-2024</t>
        </is>
      </c>
      <c r="B80" s="1" t="n">
        <v>45348</v>
      </c>
      <c r="C80" s="1" t="n">
        <v>45962</v>
      </c>
      <c r="D80" t="inlineStr">
        <is>
          <t>SKÅNE LÄN</t>
        </is>
      </c>
      <c r="E80" t="inlineStr">
        <is>
          <t>HÖÖR</t>
        </is>
      </c>
      <c r="G80" t="n">
        <v>4.2</v>
      </c>
      <c r="H80" t="n">
        <v>0</v>
      </c>
      <c r="I80" t="n">
        <v>0</v>
      </c>
      <c r="J80" t="n">
        <v>2</v>
      </c>
      <c r="K80" t="n">
        <v>1</v>
      </c>
      <c r="L80" t="n">
        <v>0</v>
      </c>
      <c r="M80" t="n">
        <v>0</v>
      </c>
      <c r="N80" t="n">
        <v>0</v>
      </c>
      <c r="O80" t="n">
        <v>3</v>
      </c>
      <c r="P80" t="n">
        <v>1</v>
      </c>
      <c r="Q80" t="n">
        <v>3</v>
      </c>
      <c r="R80" s="2" t="inlineStr">
        <is>
          <t>Flenörtskapuschongfly
Kösa
Åkerkulla</t>
        </is>
      </c>
      <c r="S80">
        <f>HYPERLINK("https://klasma.github.io/Logging_1267/artfynd/A 7616-2024 artfynd.xlsx", "A 7616-2024")</f>
        <v/>
      </c>
      <c r="T80">
        <f>HYPERLINK("https://klasma.github.io/Logging_1267/kartor/A 7616-2024 karta.png", "A 7616-2024")</f>
        <v/>
      </c>
      <c r="V80">
        <f>HYPERLINK("https://klasma.github.io/Logging_1267/klagomål/A 7616-2024 FSC-klagomål.docx", "A 7616-2024")</f>
        <v/>
      </c>
      <c r="W80">
        <f>HYPERLINK("https://klasma.github.io/Logging_1267/klagomålsmail/A 7616-2024 FSC-klagomål mail.docx", "A 7616-2024")</f>
        <v/>
      </c>
      <c r="X80">
        <f>HYPERLINK("https://klasma.github.io/Logging_1267/tillsyn/A 7616-2024 tillsynsbegäran.docx", "A 7616-2024")</f>
        <v/>
      </c>
      <c r="Y80">
        <f>HYPERLINK("https://klasma.github.io/Logging_1267/tillsynsmail/A 7616-2024 tillsynsbegäran mail.docx", "A 7616-2024")</f>
        <v/>
      </c>
    </row>
    <row r="81" ht="15" customHeight="1">
      <c r="A81" t="inlineStr">
        <is>
          <t>A 52020-2021</t>
        </is>
      </c>
      <c r="B81" s="1" t="n">
        <v>44463</v>
      </c>
      <c r="C81" s="1" t="n">
        <v>45962</v>
      </c>
      <c r="D81" t="inlineStr">
        <is>
          <t>SKÅNE LÄN</t>
        </is>
      </c>
      <c r="E81" t="inlineStr">
        <is>
          <t>KRISTIANSTAD</t>
        </is>
      </c>
      <c r="G81" t="n">
        <v>1</v>
      </c>
      <c r="H81" t="n">
        <v>3</v>
      </c>
      <c r="I81" t="n">
        <v>0</v>
      </c>
      <c r="J81" t="n">
        <v>0</v>
      </c>
      <c r="K81" t="n">
        <v>0</v>
      </c>
      <c r="L81" t="n">
        <v>1</v>
      </c>
      <c r="M81" t="n">
        <v>0</v>
      </c>
      <c r="N81" t="n">
        <v>0</v>
      </c>
      <c r="O81" t="n">
        <v>1</v>
      </c>
      <c r="P81" t="n">
        <v>1</v>
      </c>
      <c r="Q81" t="n">
        <v>3</v>
      </c>
      <c r="R81" s="2" t="inlineStr">
        <is>
          <t>Grönfink
Järnsparv
Kungsfågel</t>
        </is>
      </c>
      <c r="S81">
        <f>HYPERLINK("https://klasma.github.io/Logging_1290/artfynd/A 52020-2021 artfynd.xlsx", "A 52020-2021")</f>
        <v/>
      </c>
      <c r="T81">
        <f>HYPERLINK("https://klasma.github.io/Logging_1290/kartor/A 52020-2021 karta.png", "A 52020-2021")</f>
        <v/>
      </c>
      <c r="V81">
        <f>HYPERLINK("https://klasma.github.io/Logging_1290/klagomål/A 52020-2021 FSC-klagomål.docx", "A 52020-2021")</f>
        <v/>
      </c>
      <c r="W81">
        <f>HYPERLINK("https://klasma.github.io/Logging_1290/klagomålsmail/A 52020-2021 FSC-klagomål mail.docx", "A 52020-2021")</f>
        <v/>
      </c>
      <c r="X81">
        <f>HYPERLINK("https://klasma.github.io/Logging_1290/tillsyn/A 52020-2021 tillsynsbegäran.docx", "A 52020-2021")</f>
        <v/>
      </c>
      <c r="Y81">
        <f>HYPERLINK("https://klasma.github.io/Logging_1290/tillsynsmail/A 52020-2021 tillsynsbegäran mail.docx", "A 52020-2021")</f>
        <v/>
      </c>
      <c r="Z81">
        <f>HYPERLINK("https://klasma.github.io/Logging_1290/fåglar/A 52020-2021 prioriterade fågelarter.docx", "A 52020-2021")</f>
        <v/>
      </c>
    </row>
    <row r="82" ht="15" customHeight="1">
      <c r="A82" t="inlineStr">
        <is>
          <t>A 27430-2024</t>
        </is>
      </c>
      <c r="B82" s="1" t="n">
        <v>45474</v>
      </c>
      <c r="C82" s="1" t="n">
        <v>45962</v>
      </c>
      <c r="D82" t="inlineStr">
        <is>
          <t>SKÅNE LÄN</t>
        </is>
      </c>
      <c r="E82" t="inlineStr">
        <is>
          <t>SIMRISHAMN</t>
        </is>
      </c>
      <c r="G82" t="n">
        <v>3.9</v>
      </c>
      <c r="H82" t="n">
        <v>1</v>
      </c>
      <c r="I82" t="n">
        <v>2</v>
      </c>
      <c r="J82" t="n">
        <v>1</v>
      </c>
      <c r="K82" t="n">
        <v>0</v>
      </c>
      <c r="L82" t="n">
        <v>0</v>
      </c>
      <c r="M82" t="n">
        <v>0</v>
      </c>
      <c r="N82" t="n">
        <v>0</v>
      </c>
      <c r="O82" t="n">
        <v>1</v>
      </c>
      <c r="P82" t="n">
        <v>0</v>
      </c>
      <c r="Q82" t="n">
        <v>3</v>
      </c>
      <c r="R82" s="2" t="inlineStr">
        <is>
          <t>Spillkråka
Bokoxe
Rostfläck</t>
        </is>
      </c>
      <c r="S82">
        <f>HYPERLINK("https://klasma.github.io/Logging_1291/artfynd/A 27430-2024 artfynd.xlsx", "A 27430-2024")</f>
        <v/>
      </c>
      <c r="T82">
        <f>HYPERLINK("https://klasma.github.io/Logging_1291/kartor/A 27430-2024 karta.png", "A 27430-2024")</f>
        <v/>
      </c>
      <c r="V82">
        <f>HYPERLINK("https://klasma.github.io/Logging_1291/klagomål/A 27430-2024 FSC-klagomål.docx", "A 27430-2024")</f>
        <v/>
      </c>
      <c r="W82">
        <f>HYPERLINK("https://klasma.github.io/Logging_1291/klagomålsmail/A 27430-2024 FSC-klagomål mail.docx", "A 27430-2024")</f>
        <v/>
      </c>
      <c r="X82">
        <f>HYPERLINK("https://klasma.github.io/Logging_1291/tillsyn/A 27430-2024 tillsynsbegäran.docx", "A 27430-2024")</f>
        <v/>
      </c>
      <c r="Y82">
        <f>HYPERLINK("https://klasma.github.io/Logging_1291/tillsynsmail/A 27430-2024 tillsynsbegäran mail.docx", "A 27430-2024")</f>
        <v/>
      </c>
      <c r="Z82">
        <f>HYPERLINK("https://klasma.github.io/Logging_1291/fåglar/A 27430-2024 prioriterade fågelarter.docx", "A 27430-2024")</f>
        <v/>
      </c>
    </row>
    <row r="83" ht="15" customHeight="1">
      <c r="A83" t="inlineStr">
        <is>
          <t>A 60809-2023</t>
        </is>
      </c>
      <c r="B83" s="1" t="n">
        <v>45260</v>
      </c>
      <c r="C83" s="1" t="n">
        <v>45962</v>
      </c>
      <c r="D83" t="inlineStr">
        <is>
          <t>SKÅNE LÄN</t>
        </is>
      </c>
      <c r="E83" t="inlineStr">
        <is>
          <t>TOMELILLA</t>
        </is>
      </c>
      <c r="G83" t="n">
        <v>3.6</v>
      </c>
      <c r="H83" t="n">
        <v>1</v>
      </c>
      <c r="I83" t="n">
        <v>1</v>
      </c>
      <c r="J83" t="n">
        <v>1</v>
      </c>
      <c r="K83" t="n">
        <v>0</v>
      </c>
      <c r="L83" t="n">
        <v>0</v>
      </c>
      <c r="M83" t="n">
        <v>0</v>
      </c>
      <c r="N83" t="n">
        <v>0</v>
      </c>
      <c r="O83" t="n">
        <v>1</v>
      </c>
      <c r="P83" t="n">
        <v>0</v>
      </c>
      <c r="Q83" t="n">
        <v>3</v>
      </c>
      <c r="R83" s="2" t="inlineStr">
        <is>
          <t>Gropticka
Grovticka
Vanlig padda</t>
        </is>
      </c>
      <c r="S83">
        <f>HYPERLINK("https://klasma.github.io/Logging_1270/artfynd/A 60809-2023 artfynd.xlsx", "A 60809-2023")</f>
        <v/>
      </c>
      <c r="T83">
        <f>HYPERLINK("https://klasma.github.io/Logging_1270/kartor/A 60809-2023 karta.png", "A 60809-2023")</f>
        <v/>
      </c>
      <c r="V83">
        <f>HYPERLINK("https://klasma.github.io/Logging_1270/klagomål/A 60809-2023 FSC-klagomål.docx", "A 60809-2023")</f>
        <v/>
      </c>
      <c r="W83">
        <f>HYPERLINK("https://klasma.github.io/Logging_1270/klagomålsmail/A 60809-2023 FSC-klagomål mail.docx", "A 60809-2023")</f>
        <v/>
      </c>
      <c r="X83">
        <f>HYPERLINK("https://klasma.github.io/Logging_1270/tillsyn/A 60809-2023 tillsynsbegäran.docx", "A 60809-2023")</f>
        <v/>
      </c>
      <c r="Y83">
        <f>HYPERLINK("https://klasma.github.io/Logging_1270/tillsynsmail/A 60809-2023 tillsynsbegäran mail.docx", "A 60809-2023")</f>
        <v/>
      </c>
    </row>
    <row r="84" ht="15" customHeight="1">
      <c r="A84" t="inlineStr">
        <is>
          <t>A 63634-2023</t>
        </is>
      </c>
      <c r="B84" s="1" t="n">
        <v>45275</v>
      </c>
      <c r="C84" s="1" t="n">
        <v>45962</v>
      </c>
      <c r="D84" t="inlineStr">
        <is>
          <t>SKÅNE LÄN</t>
        </is>
      </c>
      <c r="E84" t="inlineStr">
        <is>
          <t>ÖSTRA GÖINGE</t>
        </is>
      </c>
      <c r="G84" t="n">
        <v>5.4</v>
      </c>
      <c r="H84" t="n">
        <v>3</v>
      </c>
      <c r="I84" t="n">
        <v>0</v>
      </c>
      <c r="J84" t="n">
        <v>2</v>
      </c>
      <c r="K84" t="n">
        <v>0</v>
      </c>
      <c r="L84" t="n">
        <v>0</v>
      </c>
      <c r="M84" t="n">
        <v>0</v>
      </c>
      <c r="N84" t="n">
        <v>0</v>
      </c>
      <c r="O84" t="n">
        <v>2</v>
      </c>
      <c r="P84" t="n">
        <v>0</v>
      </c>
      <c r="Q84" t="n">
        <v>3</v>
      </c>
      <c r="R84" s="2" t="inlineStr">
        <is>
          <t>Svartvit flugsnappare
Ärtsångare
Skogsduva</t>
        </is>
      </c>
      <c r="S84">
        <f>HYPERLINK("https://klasma.github.io/Logging_1256/artfynd/A 63634-2023 artfynd.xlsx", "A 63634-2023")</f>
        <v/>
      </c>
      <c r="T84">
        <f>HYPERLINK("https://klasma.github.io/Logging_1256/kartor/A 63634-2023 karta.png", "A 63634-2023")</f>
        <v/>
      </c>
      <c r="V84">
        <f>HYPERLINK("https://klasma.github.io/Logging_1256/klagomål/A 63634-2023 FSC-klagomål.docx", "A 63634-2023")</f>
        <v/>
      </c>
      <c r="W84">
        <f>HYPERLINK("https://klasma.github.io/Logging_1256/klagomålsmail/A 63634-2023 FSC-klagomål mail.docx", "A 63634-2023")</f>
        <v/>
      </c>
      <c r="X84">
        <f>HYPERLINK("https://klasma.github.io/Logging_1256/tillsyn/A 63634-2023 tillsynsbegäran.docx", "A 63634-2023")</f>
        <v/>
      </c>
      <c r="Y84">
        <f>HYPERLINK("https://klasma.github.io/Logging_1256/tillsynsmail/A 63634-2023 tillsynsbegäran mail.docx", "A 63634-2023")</f>
        <v/>
      </c>
      <c r="Z84">
        <f>HYPERLINK("https://klasma.github.io/Logging_1256/fåglar/A 63634-2023 prioriterade fågelarter.docx", "A 63634-2023")</f>
        <v/>
      </c>
    </row>
    <row r="85" ht="15" customHeight="1">
      <c r="A85" t="inlineStr">
        <is>
          <t>A 31351-2022</t>
        </is>
      </c>
      <c r="B85" s="1" t="n">
        <v>44774</v>
      </c>
      <c r="C85" s="1" t="n">
        <v>45962</v>
      </c>
      <c r="D85" t="inlineStr">
        <is>
          <t>SKÅNE LÄN</t>
        </is>
      </c>
      <c r="E85" t="inlineStr">
        <is>
          <t>HÖRBY</t>
        </is>
      </c>
      <c r="G85" t="n">
        <v>13.2</v>
      </c>
      <c r="H85" t="n">
        <v>3</v>
      </c>
      <c r="I85" t="n">
        <v>0</v>
      </c>
      <c r="J85" t="n">
        <v>3</v>
      </c>
      <c r="K85" t="n">
        <v>0</v>
      </c>
      <c r="L85" t="n">
        <v>0</v>
      </c>
      <c r="M85" t="n">
        <v>0</v>
      </c>
      <c r="N85" t="n">
        <v>0</v>
      </c>
      <c r="O85" t="n">
        <v>3</v>
      </c>
      <c r="P85" t="n">
        <v>0</v>
      </c>
      <c r="Q85" t="n">
        <v>3</v>
      </c>
      <c r="R85" s="2" t="inlineStr">
        <is>
          <t>Duvhök
Fjällvråk
Grönsångare</t>
        </is>
      </c>
      <c r="S85">
        <f>HYPERLINK("https://klasma.github.io/Logging_1266/artfynd/A 31351-2022 artfynd.xlsx", "A 31351-2022")</f>
        <v/>
      </c>
      <c r="T85">
        <f>HYPERLINK("https://klasma.github.io/Logging_1266/kartor/A 31351-2022 karta.png", "A 31351-2022")</f>
        <v/>
      </c>
      <c r="V85">
        <f>HYPERLINK("https://klasma.github.io/Logging_1266/klagomål/A 31351-2022 FSC-klagomål.docx", "A 31351-2022")</f>
        <v/>
      </c>
      <c r="W85">
        <f>HYPERLINK("https://klasma.github.io/Logging_1266/klagomålsmail/A 31351-2022 FSC-klagomål mail.docx", "A 31351-2022")</f>
        <v/>
      </c>
      <c r="X85">
        <f>HYPERLINK("https://klasma.github.io/Logging_1266/tillsyn/A 31351-2022 tillsynsbegäran.docx", "A 31351-2022")</f>
        <v/>
      </c>
      <c r="Y85">
        <f>HYPERLINK("https://klasma.github.io/Logging_1266/tillsynsmail/A 31351-2022 tillsynsbegäran mail.docx", "A 31351-2022")</f>
        <v/>
      </c>
      <c r="Z85">
        <f>HYPERLINK("https://klasma.github.io/Logging_1266/fåglar/A 31351-2022 prioriterade fågelarter.docx", "A 31351-2022")</f>
        <v/>
      </c>
    </row>
    <row r="86" ht="15" customHeight="1">
      <c r="A86" t="inlineStr">
        <is>
          <t>A 34210-2025</t>
        </is>
      </c>
      <c r="B86" s="1" t="n">
        <v>45844</v>
      </c>
      <c r="C86" s="1" t="n">
        <v>45962</v>
      </c>
      <c r="D86" t="inlineStr">
        <is>
          <t>SKÅNE LÄN</t>
        </is>
      </c>
      <c r="E86" t="inlineStr">
        <is>
          <t>OSBY</t>
        </is>
      </c>
      <c r="F86" t="inlineStr">
        <is>
          <t>Naturvårdsverket</t>
        </is>
      </c>
      <c r="G86" t="n">
        <v>8.6</v>
      </c>
      <c r="H86" t="n">
        <v>2</v>
      </c>
      <c r="I86" t="n">
        <v>1</v>
      </c>
      <c r="J86" t="n">
        <v>1</v>
      </c>
      <c r="K86" t="n">
        <v>0</v>
      </c>
      <c r="L86" t="n">
        <v>0</v>
      </c>
      <c r="M86" t="n">
        <v>0</v>
      </c>
      <c r="N86" t="n">
        <v>0</v>
      </c>
      <c r="O86" t="n">
        <v>1</v>
      </c>
      <c r="P86" t="n">
        <v>0</v>
      </c>
      <c r="Q86" t="n">
        <v>3</v>
      </c>
      <c r="R86" s="2" t="inlineStr">
        <is>
          <t>Spillkråka
Blåmossa
Kungsfågel</t>
        </is>
      </c>
      <c r="S86">
        <f>HYPERLINK("https://klasma.github.io/Logging_1273/artfynd/A 34210-2025 artfynd.xlsx", "A 34210-2025")</f>
        <v/>
      </c>
      <c r="T86">
        <f>HYPERLINK("https://klasma.github.io/Logging_1273/kartor/A 34210-2025 karta.png", "A 34210-2025")</f>
        <v/>
      </c>
      <c r="V86">
        <f>HYPERLINK("https://klasma.github.io/Logging_1273/klagomål/A 34210-2025 FSC-klagomål.docx", "A 34210-2025")</f>
        <v/>
      </c>
      <c r="W86">
        <f>HYPERLINK("https://klasma.github.io/Logging_1273/klagomålsmail/A 34210-2025 FSC-klagomål mail.docx", "A 34210-2025")</f>
        <v/>
      </c>
      <c r="X86">
        <f>HYPERLINK("https://klasma.github.io/Logging_1273/tillsyn/A 34210-2025 tillsynsbegäran.docx", "A 34210-2025")</f>
        <v/>
      </c>
      <c r="Y86">
        <f>HYPERLINK("https://klasma.github.io/Logging_1273/tillsynsmail/A 34210-2025 tillsynsbegäran mail.docx", "A 34210-2025")</f>
        <v/>
      </c>
      <c r="Z86">
        <f>HYPERLINK("https://klasma.github.io/Logging_1273/fåglar/A 34210-2025 prioriterade fågelarter.docx", "A 34210-2025")</f>
        <v/>
      </c>
    </row>
    <row r="87" ht="15" customHeight="1">
      <c r="A87" t="inlineStr">
        <is>
          <t>A 2943-2023</t>
        </is>
      </c>
      <c r="B87" s="1" t="n">
        <v>44945</v>
      </c>
      <c r="C87" s="1" t="n">
        <v>45962</v>
      </c>
      <c r="D87" t="inlineStr">
        <is>
          <t>SKÅNE LÄN</t>
        </is>
      </c>
      <c r="E87" t="inlineStr">
        <is>
          <t>BÅSTAD</t>
        </is>
      </c>
      <c r="G87" t="n">
        <v>11.3</v>
      </c>
      <c r="H87" t="n">
        <v>1</v>
      </c>
      <c r="I87" t="n">
        <v>1</v>
      </c>
      <c r="J87" t="n">
        <v>0</v>
      </c>
      <c r="K87" t="n">
        <v>0</v>
      </c>
      <c r="L87" t="n">
        <v>0</v>
      </c>
      <c r="M87" t="n">
        <v>1</v>
      </c>
      <c r="N87" t="n">
        <v>0</v>
      </c>
      <c r="O87" t="n">
        <v>1</v>
      </c>
      <c r="P87" t="n">
        <v>1</v>
      </c>
      <c r="Q87" t="n">
        <v>3</v>
      </c>
      <c r="R87" s="2" t="inlineStr">
        <is>
          <t>Skogsalm
Sårläka
Grönvit nattviol</t>
        </is>
      </c>
      <c r="S87">
        <f>HYPERLINK("https://klasma.github.io/Logging_1278/artfynd/A 2943-2023 artfynd.xlsx", "A 2943-2023")</f>
        <v/>
      </c>
      <c r="T87">
        <f>HYPERLINK("https://klasma.github.io/Logging_1278/kartor/A 2943-2023 karta.png", "A 2943-2023")</f>
        <v/>
      </c>
      <c r="V87">
        <f>HYPERLINK("https://klasma.github.io/Logging_1278/klagomål/A 2943-2023 FSC-klagomål.docx", "A 2943-2023")</f>
        <v/>
      </c>
      <c r="W87">
        <f>HYPERLINK("https://klasma.github.io/Logging_1278/klagomålsmail/A 2943-2023 FSC-klagomål mail.docx", "A 2943-2023")</f>
        <v/>
      </c>
      <c r="X87">
        <f>HYPERLINK("https://klasma.github.io/Logging_1278/tillsyn/A 2943-2023 tillsynsbegäran.docx", "A 2943-2023")</f>
        <v/>
      </c>
      <c r="Y87">
        <f>HYPERLINK("https://klasma.github.io/Logging_1278/tillsynsmail/A 2943-2023 tillsynsbegäran mail.docx", "A 2943-2023")</f>
        <v/>
      </c>
    </row>
    <row r="88" ht="15" customHeight="1">
      <c r="A88" t="inlineStr">
        <is>
          <t>A 18319-2025</t>
        </is>
      </c>
      <c r="B88" s="1" t="n">
        <v>45762</v>
      </c>
      <c r="C88" s="1" t="n">
        <v>45962</v>
      </c>
      <c r="D88" t="inlineStr">
        <is>
          <t>SKÅNE LÄN</t>
        </is>
      </c>
      <c r="E88" t="inlineStr">
        <is>
          <t>BÅSTAD</t>
        </is>
      </c>
      <c r="G88" t="n">
        <v>3.4</v>
      </c>
      <c r="H88" t="n">
        <v>1</v>
      </c>
      <c r="I88" t="n">
        <v>2</v>
      </c>
      <c r="J88" t="n">
        <v>1</v>
      </c>
      <c r="K88" t="n">
        <v>0</v>
      </c>
      <c r="L88" t="n">
        <v>0</v>
      </c>
      <c r="M88" t="n">
        <v>0</v>
      </c>
      <c r="N88" t="n">
        <v>0</v>
      </c>
      <c r="O88" t="n">
        <v>1</v>
      </c>
      <c r="P88" t="n">
        <v>0</v>
      </c>
      <c r="Q88" t="n">
        <v>3</v>
      </c>
      <c r="R88" s="2" t="inlineStr">
        <is>
          <t>Igelkott
Korallrot
Källpraktmossa</t>
        </is>
      </c>
      <c r="S88">
        <f>HYPERLINK("https://klasma.github.io/Logging_1278/artfynd/A 18319-2025 artfynd.xlsx", "A 18319-2025")</f>
        <v/>
      </c>
      <c r="T88">
        <f>HYPERLINK("https://klasma.github.io/Logging_1278/kartor/A 18319-2025 karta.png", "A 18319-2025")</f>
        <v/>
      </c>
      <c r="V88">
        <f>HYPERLINK("https://klasma.github.io/Logging_1278/klagomål/A 18319-2025 FSC-klagomål.docx", "A 18319-2025")</f>
        <v/>
      </c>
      <c r="W88">
        <f>HYPERLINK("https://klasma.github.io/Logging_1278/klagomålsmail/A 18319-2025 FSC-klagomål mail.docx", "A 18319-2025")</f>
        <v/>
      </c>
      <c r="X88">
        <f>HYPERLINK("https://klasma.github.io/Logging_1278/tillsyn/A 18319-2025 tillsynsbegäran.docx", "A 18319-2025")</f>
        <v/>
      </c>
      <c r="Y88">
        <f>HYPERLINK("https://klasma.github.io/Logging_1278/tillsynsmail/A 18319-2025 tillsynsbegäran mail.docx", "A 18319-2025")</f>
        <v/>
      </c>
    </row>
    <row r="89" ht="15" customHeight="1">
      <c r="A89" t="inlineStr">
        <is>
          <t>A 905-2024</t>
        </is>
      </c>
      <c r="B89" s="1" t="n">
        <v>45301</v>
      </c>
      <c r="C89" s="1" t="n">
        <v>45962</v>
      </c>
      <c r="D89" t="inlineStr">
        <is>
          <t>SKÅNE LÄN</t>
        </is>
      </c>
      <c r="E89" t="inlineStr">
        <is>
          <t>ÄNGELHOLM</t>
        </is>
      </c>
      <c r="G89" t="n">
        <v>4.9</v>
      </c>
      <c r="H89" t="n">
        <v>0</v>
      </c>
      <c r="I89" t="n">
        <v>1</v>
      </c>
      <c r="J89" t="n">
        <v>2</v>
      </c>
      <c r="K89" t="n">
        <v>0</v>
      </c>
      <c r="L89" t="n">
        <v>0</v>
      </c>
      <c r="M89" t="n">
        <v>0</v>
      </c>
      <c r="N89" t="n">
        <v>0</v>
      </c>
      <c r="O89" t="n">
        <v>2</v>
      </c>
      <c r="P89" t="n">
        <v>0</v>
      </c>
      <c r="Q89" t="n">
        <v>3</v>
      </c>
      <c r="R89" s="2" t="inlineStr">
        <is>
          <t>Boktigerfluga
Desmeknopp
Myskmadra</t>
        </is>
      </c>
      <c r="S89">
        <f>HYPERLINK("https://klasma.github.io/Logging_1292/artfynd/A 905-2024 artfynd.xlsx", "A 905-2024")</f>
        <v/>
      </c>
      <c r="T89">
        <f>HYPERLINK("https://klasma.github.io/Logging_1292/kartor/A 905-2024 karta.png", "A 905-2024")</f>
        <v/>
      </c>
      <c r="V89">
        <f>HYPERLINK("https://klasma.github.io/Logging_1292/klagomål/A 905-2024 FSC-klagomål.docx", "A 905-2024")</f>
        <v/>
      </c>
      <c r="W89">
        <f>HYPERLINK("https://klasma.github.io/Logging_1292/klagomålsmail/A 905-2024 FSC-klagomål mail.docx", "A 905-2024")</f>
        <v/>
      </c>
      <c r="X89">
        <f>HYPERLINK("https://klasma.github.io/Logging_1292/tillsyn/A 905-2024 tillsynsbegäran.docx", "A 905-2024")</f>
        <v/>
      </c>
      <c r="Y89">
        <f>HYPERLINK("https://klasma.github.io/Logging_1292/tillsynsmail/A 905-2024 tillsynsbegäran mail.docx", "A 905-2024")</f>
        <v/>
      </c>
    </row>
    <row r="90" ht="15" customHeight="1">
      <c r="A90" t="inlineStr">
        <is>
          <t>A 28874-2023</t>
        </is>
      </c>
      <c r="B90" s="1" t="n">
        <v>45104</v>
      </c>
      <c r="C90" s="1" t="n">
        <v>45962</v>
      </c>
      <c r="D90" t="inlineStr">
        <is>
          <t>SKÅNE LÄN</t>
        </is>
      </c>
      <c r="E90" t="inlineStr">
        <is>
          <t>ÄNGELHOLM</t>
        </is>
      </c>
      <c r="G90" t="n">
        <v>9</v>
      </c>
      <c r="H90" t="n">
        <v>1</v>
      </c>
      <c r="I90" t="n">
        <v>2</v>
      </c>
      <c r="J90" t="n">
        <v>0</v>
      </c>
      <c r="K90" t="n">
        <v>0</v>
      </c>
      <c r="L90" t="n">
        <v>0</v>
      </c>
      <c r="M90" t="n">
        <v>0</v>
      </c>
      <c r="N90" t="n">
        <v>0</v>
      </c>
      <c r="O90" t="n">
        <v>0</v>
      </c>
      <c r="P90" t="n">
        <v>0</v>
      </c>
      <c r="Q90" t="n">
        <v>3</v>
      </c>
      <c r="R90" s="2" t="inlineStr">
        <is>
          <t>Blåmossa
Stubbspretmossa
Revlummer</t>
        </is>
      </c>
      <c r="S90">
        <f>HYPERLINK("https://klasma.github.io/Logging_1292/artfynd/A 28874-2023 artfynd.xlsx", "A 28874-2023")</f>
        <v/>
      </c>
      <c r="T90">
        <f>HYPERLINK("https://klasma.github.io/Logging_1292/kartor/A 28874-2023 karta.png", "A 28874-2023")</f>
        <v/>
      </c>
      <c r="V90">
        <f>HYPERLINK("https://klasma.github.io/Logging_1292/klagomål/A 28874-2023 FSC-klagomål.docx", "A 28874-2023")</f>
        <v/>
      </c>
      <c r="W90">
        <f>HYPERLINK("https://klasma.github.io/Logging_1292/klagomålsmail/A 28874-2023 FSC-klagomål mail.docx", "A 28874-2023")</f>
        <v/>
      </c>
      <c r="X90">
        <f>HYPERLINK("https://klasma.github.io/Logging_1292/tillsyn/A 28874-2023 tillsynsbegäran.docx", "A 28874-2023")</f>
        <v/>
      </c>
      <c r="Y90">
        <f>HYPERLINK("https://klasma.github.io/Logging_1292/tillsynsmail/A 28874-2023 tillsynsbegäran mail.docx", "A 28874-2023")</f>
        <v/>
      </c>
    </row>
    <row r="91" ht="15" customHeight="1">
      <c r="A91" t="inlineStr">
        <is>
          <t>A 2823-2025</t>
        </is>
      </c>
      <c r="B91" s="1" t="n">
        <v>45677</v>
      </c>
      <c r="C91" s="1" t="n">
        <v>45962</v>
      </c>
      <c r="D91" t="inlineStr">
        <is>
          <t>SKÅNE LÄN</t>
        </is>
      </c>
      <c r="E91" t="inlineStr">
        <is>
          <t>HÖRBY</t>
        </is>
      </c>
      <c r="G91" t="n">
        <v>21.1</v>
      </c>
      <c r="H91" t="n">
        <v>2</v>
      </c>
      <c r="I91" t="n">
        <v>0</v>
      </c>
      <c r="J91" t="n">
        <v>1</v>
      </c>
      <c r="K91" t="n">
        <v>0</v>
      </c>
      <c r="L91" t="n">
        <v>0</v>
      </c>
      <c r="M91" t="n">
        <v>0</v>
      </c>
      <c r="N91" t="n">
        <v>0</v>
      </c>
      <c r="O91" t="n">
        <v>1</v>
      </c>
      <c r="P91" t="n">
        <v>0</v>
      </c>
      <c r="Q91" t="n">
        <v>3</v>
      </c>
      <c r="R91" s="2" t="inlineStr">
        <is>
          <t>Borsttåg
Grönvit nattviol
Revlummer</t>
        </is>
      </c>
      <c r="S91">
        <f>HYPERLINK("https://klasma.github.io/Logging_1266/artfynd/A 2823-2025 artfynd.xlsx", "A 2823-2025")</f>
        <v/>
      </c>
      <c r="T91">
        <f>HYPERLINK("https://klasma.github.io/Logging_1266/kartor/A 2823-2025 karta.png", "A 2823-2025")</f>
        <v/>
      </c>
      <c r="V91">
        <f>HYPERLINK("https://klasma.github.io/Logging_1266/klagomål/A 2823-2025 FSC-klagomål.docx", "A 2823-2025")</f>
        <v/>
      </c>
      <c r="W91">
        <f>HYPERLINK("https://klasma.github.io/Logging_1266/klagomålsmail/A 2823-2025 FSC-klagomål mail.docx", "A 2823-2025")</f>
        <v/>
      </c>
      <c r="X91">
        <f>HYPERLINK("https://klasma.github.io/Logging_1266/tillsyn/A 2823-2025 tillsynsbegäran.docx", "A 2823-2025")</f>
        <v/>
      </c>
      <c r="Y91">
        <f>HYPERLINK("https://klasma.github.io/Logging_1266/tillsynsmail/A 2823-2025 tillsynsbegäran mail.docx", "A 2823-2025")</f>
        <v/>
      </c>
    </row>
    <row r="92" ht="15" customHeight="1">
      <c r="A92" t="inlineStr">
        <is>
          <t>A 7554-2023</t>
        </is>
      </c>
      <c r="B92" s="1" t="n">
        <v>44967</v>
      </c>
      <c r="C92" s="1" t="n">
        <v>45962</v>
      </c>
      <c r="D92" t="inlineStr">
        <is>
          <t>SKÅNE LÄN</t>
        </is>
      </c>
      <c r="E92" t="inlineStr">
        <is>
          <t>BROMÖLLA</t>
        </is>
      </c>
      <c r="G92" t="n">
        <v>2.8</v>
      </c>
      <c r="H92" t="n">
        <v>0</v>
      </c>
      <c r="I92" t="n">
        <v>3</v>
      </c>
      <c r="J92" t="n">
        <v>0</v>
      </c>
      <c r="K92" t="n">
        <v>0</v>
      </c>
      <c r="L92" t="n">
        <v>0</v>
      </c>
      <c r="M92" t="n">
        <v>0</v>
      </c>
      <c r="N92" t="n">
        <v>0</v>
      </c>
      <c r="O92" t="n">
        <v>0</v>
      </c>
      <c r="P92" t="n">
        <v>0</v>
      </c>
      <c r="Q92" t="n">
        <v>3</v>
      </c>
      <c r="R92" s="2" t="inlineStr">
        <is>
          <t>Stor häxört
Svart trolldruva
Underviol</t>
        </is>
      </c>
      <c r="S92">
        <f>HYPERLINK("https://klasma.github.io/Logging_1272/artfynd/A 7554-2023 artfynd.xlsx", "A 7554-2023")</f>
        <v/>
      </c>
      <c r="T92">
        <f>HYPERLINK("https://klasma.github.io/Logging_1272/kartor/A 7554-2023 karta.png", "A 7554-2023")</f>
        <v/>
      </c>
      <c r="V92">
        <f>HYPERLINK("https://klasma.github.io/Logging_1272/klagomål/A 7554-2023 FSC-klagomål.docx", "A 7554-2023")</f>
        <v/>
      </c>
      <c r="W92">
        <f>HYPERLINK("https://klasma.github.io/Logging_1272/klagomålsmail/A 7554-2023 FSC-klagomål mail.docx", "A 7554-2023")</f>
        <v/>
      </c>
      <c r="X92">
        <f>HYPERLINK("https://klasma.github.io/Logging_1272/tillsyn/A 7554-2023 tillsynsbegäran.docx", "A 7554-2023")</f>
        <v/>
      </c>
      <c r="Y92">
        <f>HYPERLINK("https://klasma.github.io/Logging_1272/tillsynsmail/A 7554-2023 tillsynsbegäran mail.docx", "A 7554-2023")</f>
        <v/>
      </c>
    </row>
    <row r="93" ht="15" customHeight="1">
      <c r="A93" t="inlineStr">
        <is>
          <t>A 35245-2025</t>
        </is>
      </c>
      <c r="B93" s="1" t="n">
        <v>45853.6421875</v>
      </c>
      <c r="C93" s="1" t="n">
        <v>45962</v>
      </c>
      <c r="D93" t="inlineStr">
        <is>
          <t>SKÅNE LÄN</t>
        </is>
      </c>
      <c r="E93" t="inlineStr">
        <is>
          <t>ÖRKELLJUNGA</t>
        </is>
      </c>
      <c r="G93" t="n">
        <v>8.699999999999999</v>
      </c>
      <c r="H93" t="n">
        <v>3</v>
      </c>
      <c r="I93" t="n">
        <v>0</v>
      </c>
      <c r="J93" t="n">
        <v>2</v>
      </c>
      <c r="K93" t="n">
        <v>0</v>
      </c>
      <c r="L93" t="n">
        <v>0</v>
      </c>
      <c r="M93" t="n">
        <v>0</v>
      </c>
      <c r="N93" t="n">
        <v>0</v>
      </c>
      <c r="O93" t="n">
        <v>2</v>
      </c>
      <c r="P93" t="n">
        <v>0</v>
      </c>
      <c r="Q93" t="n">
        <v>3</v>
      </c>
      <c r="R93" s="2" t="inlineStr">
        <is>
          <t>Entita
Talltita
Kungsfågel</t>
        </is>
      </c>
      <c r="S93">
        <f>HYPERLINK("https://klasma.github.io/Logging_1257/artfynd/A 35245-2025 artfynd.xlsx", "A 35245-2025")</f>
        <v/>
      </c>
      <c r="T93">
        <f>HYPERLINK("https://klasma.github.io/Logging_1257/kartor/A 35245-2025 karta.png", "A 35245-2025")</f>
        <v/>
      </c>
      <c r="V93">
        <f>HYPERLINK("https://klasma.github.io/Logging_1257/klagomål/A 35245-2025 FSC-klagomål.docx", "A 35245-2025")</f>
        <v/>
      </c>
      <c r="W93">
        <f>HYPERLINK("https://klasma.github.io/Logging_1257/klagomålsmail/A 35245-2025 FSC-klagomål mail.docx", "A 35245-2025")</f>
        <v/>
      </c>
      <c r="X93">
        <f>HYPERLINK("https://klasma.github.io/Logging_1257/tillsyn/A 35245-2025 tillsynsbegäran.docx", "A 35245-2025")</f>
        <v/>
      </c>
      <c r="Y93">
        <f>HYPERLINK("https://klasma.github.io/Logging_1257/tillsynsmail/A 35245-2025 tillsynsbegäran mail.docx", "A 35245-2025")</f>
        <v/>
      </c>
      <c r="Z93">
        <f>HYPERLINK("https://klasma.github.io/Logging_1257/fåglar/A 35245-2025 prioriterade fågelarter.docx", "A 35245-2025")</f>
        <v/>
      </c>
    </row>
    <row r="94" ht="15" customHeight="1">
      <c r="A94" t="inlineStr">
        <is>
          <t>A 12576-2023</t>
        </is>
      </c>
      <c r="B94" s="1" t="n">
        <v>45000</v>
      </c>
      <c r="C94" s="1" t="n">
        <v>45962</v>
      </c>
      <c r="D94" t="inlineStr">
        <is>
          <t>SKÅNE LÄN</t>
        </is>
      </c>
      <c r="E94" t="inlineStr">
        <is>
          <t>KRISTIANSTAD</t>
        </is>
      </c>
      <c r="G94" t="n">
        <v>5.8</v>
      </c>
      <c r="H94" t="n">
        <v>0</v>
      </c>
      <c r="I94" t="n">
        <v>0</v>
      </c>
      <c r="J94" t="n">
        <v>2</v>
      </c>
      <c r="K94" t="n">
        <v>1</v>
      </c>
      <c r="L94" t="n">
        <v>0</v>
      </c>
      <c r="M94" t="n">
        <v>0</v>
      </c>
      <c r="N94" t="n">
        <v>0</v>
      </c>
      <c r="O94" t="n">
        <v>3</v>
      </c>
      <c r="P94" t="n">
        <v>1</v>
      </c>
      <c r="Q94" t="n">
        <v>3</v>
      </c>
      <c r="R94" s="2" t="inlineStr">
        <is>
          <t>Bukspolsnäcka
Lamellsnäcka
Tandsnäcka</t>
        </is>
      </c>
      <c r="S94">
        <f>HYPERLINK("https://klasma.github.io/Logging_1290/artfynd/A 12576-2023 artfynd.xlsx", "A 12576-2023")</f>
        <v/>
      </c>
      <c r="T94">
        <f>HYPERLINK("https://klasma.github.io/Logging_1290/kartor/A 12576-2023 karta.png", "A 12576-2023")</f>
        <v/>
      </c>
      <c r="V94">
        <f>HYPERLINK("https://klasma.github.io/Logging_1290/klagomål/A 12576-2023 FSC-klagomål.docx", "A 12576-2023")</f>
        <v/>
      </c>
      <c r="W94">
        <f>HYPERLINK("https://klasma.github.io/Logging_1290/klagomålsmail/A 12576-2023 FSC-klagomål mail.docx", "A 12576-2023")</f>
        <v/>
      </c>
      <c r="X94">
        <f>HYPERLINK("https://klasma.github.io/Logging_1290/tillsyn/A 12576-2023 tillsynsbegäran.docx", "A 12576-2023")</f>
        <v/>
      </c>
      <c r="Y94">
        <f>HYPERLINK("https://klasma.github.io/Logging_1290/tillsynsmail/A 12576-2023 tillsynsbegäran mail.docx", "A 12576-2023")</f>
        <v/>
      </c>
    </row>
    <row r="95" ht="15" customHeight="1">
      <c r="A95" t="inlineStr">
        <is>
          <t>A 29032-2023</t>
        </is>
      </c>
      <c r="B95" s="1" t="n">
        <v>45104</v>
      </c>
      <c r="C95" s="1" t="n">
        <v>45962</v>
      </c>
      <c r="D95" t="inlineStr">
        <is>
          <t>SKÅNE LÄN</t>
        </is>
      </c>
      <c r="E95" t="inlineStr">
        <is>
          <t>SVEDALA</t>
        </is>
      </c>
      <c r="G95" t="n">
        <v>2</v>
      </c>
      <c r="H95" t="n">
        <v>3</v>
      </c>
      <c r="I95" t="n">
        <v>0</v>
      </c>
      <c r="J95" t="n">
        <v>1</v>
      </c>
      <c r="K95" t="n">
        <v>0</v>
      </c>
      <c r="L95" t="n">
        <v>0</v>
      </c>
      <c r="M95" t="n">
        <v>0</v>
      </c>
      <c r="N95" t="n">
        <v>0</v>
      </c>
      <c r="O95" t="n">
        <v>1</v>
      </c>
      <c r="P95" t="n">
        <v>0</v>
      </c>
      <c r="Q95" t="n">
        <v>3</v>
      </c>
      <c r="R95" s="2" t="inlineStr">
        <is>
          <t>Grönsångare
Åkergroda
Vanlig groda</t>
        </is>
      </c>
      <c r="S95">
        <f>HYPERLINK("https://klasma.github.io/Logging_1263/artfynd/A 29032-2023 artfynd.xlsx", "A 29032-2023")</f>
        <v/>
      </c>
      <c r="T95">
        <f>HYPERLINK("https://klasma.github.io/Logging_1263/kartor/A 29032-2023 karta.png", "A 29032-2023")</f>
        <v/>
      </c>
      <c r="V95">
        <f>HYPERLINK("https://klasma.github.io/Logging_1263/klagomål/A 29032-2023 FSC-klagomål.docx", "A 29032-2023")</f>
        <v/>
      </c>
      <c r="W95">
        <f>HYPERLINK("https://klasma.github.io/Logging_1263/klagomålsmail/A 29032-2023 FSC-klagomål mail.docx", "A 29032-2023")</f>
        <v/>
      </c>
      <c r="X95">
        <f>HYPERLINK("https://klasma.github.io/Logging_1263/tillsyn/A 29032-2023 tillsynsbegäran.docx", "A 29032-2023")</f>
        <v/>
      </c>
      <c r="Y95">
        <f>HYPERLINK("https://klasma.github.io/Logging_1263/tillsynsmail/A 29032-2023 tillsynsbegäran mail.docx", "A 29032-2023")</f>
        <v/>
      </c>
      <c r="Z95">
        <f>HYPERLINK("https://klasma.github.io/Logging_1263/fåglar/A 29032-2023 prioriterade fågelarter.docx", "A 29032-2023")</f>
        <v/>
      </c>
    </row>
    <row r="96" ht="15" customHeight="1">
      <c r="A96" t="inlineStr">
        <is>
          <t>A 56742-2023</t>
        </is>
      </c>
      <c r="B96" s="1" t="n">
        <v>45238</v>
      </c>
      <c r="C96" s="1" t="n">
        <v>45962</v>
      </c>
      <c r="D96" t="inlineStr">
        <is>
          <t>SKÅNE LÄN</t>
        </is>
      </c>
      <c r="E96" t="inlineStr">
        <is>
          <t>HÖRBY</t>
        </is>
      </c>
      <c r="G96" t="n">
        <v>8.699999999999999</v>
      </c>
      <c r="H96" t="n">
        <v>2</v>
      </c>
      <c r="I96" t="n">
        <v>1</v>
      </c>
      <c r="J96" t="n">
        <v>1</v>
      </c>
      <c r="K96" t="n">
        <v>0</v>
      </c>
      <c r="L96" t="n">
        <v>0</v>
      </c>
      <c r="M96" t="n">
        <v>0</v>
      </c>
      <c r="N96" t="n">
        <v>0</v>
      </c>
      <c r="O96" t="n">
        <v>1</v>
      </c>
      <c r="P96" t="n">
        <v>0</v>
      </c>
      <c r="Q96" t="n">
        <v>3</v>
      </c>
      <c r="R96" s="2" t="inlineStr">
        <is>
          <t>Mindre hackspett
Scharlakansskål
Skogsödla</t>
        </is>
      </c>
      <c r="S96">
        <f>HYPERLINK("https://klasma.github.io/Logging_1266/artfynd/A 56742-2023 artfynd.xlsx", "A 56742-2023")</f>
        <v/>
      </c>
      <c r="T96">
        <f>HYPERLINK("https://klasma.github.io/Logging_1266/kartor/A 56742-2023 karta.png", "A 56742-2023")</f>
        <v/>
      </c>
      <c r="V96">
        <f>HYPERLINK("https://klasma.github.io/Logging_1266/klagomål/A 56742-2023 FSC-klagomål.docx", "A 56742-2023")</f>
        <v/>
      </c>
      <c r="W96">
        <f>HYPERLINK("https://klasma.github.io/Logging_1266/klagomålsmail/A 56742-2023 FSC-klagomål mail.docx", "A 56742-2023")</f>
        <v/>
      </c>
      <c r="X96">
        <f>HYPERLINK("https://klasma.github.io/Logging_1266/tillsyn/A 56742-2023 tillsynsbegäran.docx", "A 56742-2023")</f>
        <v/>
      </c>
      <c r="Y96">
        <f>HYPERLINK("https://klasma.github.io/Logging_1266/tillsynsmail/A 56742-2023 tillsynsbegäran mail.docx", "A 56742-2023")</f>
        <v/>
      </c>
      <c r="Z96">
        <f>HYPERLINK("https://klasma.github.io/Logging_1266/fåglar/A 56742-2023 prioriterade fågelarter.docx", "A 56742-2023")</f>
        <v/>
      </c>
    </row>
    <row r="97" ht="15" customHeight="1">
      <c r="A97" t="inlineStr">
        <is>
          <t>A 42004-2025</t>
        </is>
      </c>
      <c r="B97" s="1" t="n">
        <v>45903</v>
      </c>
      <c r="C97" s="1" t="n">
        <v>45962</v>
      </c>
      <c r="D97" t="inlineStr">
        <is>
          <t>SKÅNE LÄN</t>
        </is>
      </c>
      <c r="E97" t="inlineStr">
        <is>
          <t>KLIPPAN</t>
        </is>
      </c>
      <c r="G97" t="n">
        <v>10.1</v>
      </c>
      <c r="H97" t="n">
        <v>3</v>
      </c>
      <c r="I97" t="n">
        <v>0</v>
      </c>
      <c r="J97" t="n">
        <v>1</v>
      </c>
      <c r="K97" t="n">
        <v>0</v>
      </c>
      <c r="L97" t="n">
        <v>0</v>
      </c>
      <c r="M97" t="n">
        <v>0</v>
      </c>
      <c r="N97" t="n">
        <v>0</v>
      </c>
      <c r="O97" t="n">
        <v>1</v>
      </c>
      <c r="P97" t="n">
        <v>0</v>
      </c>
      <c r="Q97" t="n">
        <v>3</v>
      </c>
      <c r="R97" s="2" t="inlineStr">
        <is>
          <t>Spillkråka
Gröngöling
Kungsfågel</t>
        </is>
      </c>
      <c r="S97">
        <f>HYPERLINK("https://klasma.github.io/Logging_1276/artfynd/A 42004-2025 artfynd.xlsx", "A 42004-2025")</f>
        <v/>
      </c>
      <c r="T97">
        <f>HYPERLINK("https://klasma.github.io/Logging_1276/kartor/A 42004-2025 karta.png", "A 42004-2025")</f>
        <v/>
      </c>
      <c r="V97">
        <f>HYPERLINK("https://klasma.github.io/Logging_1276/klagomål/A 42004-2025 FSC-klagomål.docx", "A 42004-2025")</f>
        <v/>
      </c>
      <c r="W97">
        <f>HYPERLINK("https://klasma.github.io/Logging_1276/klagomålsmail/A 42004-2025 FSC-klagomål mail.docx", "A 42004-2025")</f>
        <v/>
      </c>
      <c r="X97">
        <f>HYPERLINK("https://klasma.github.io/Logging_1276/tillsyn/A 42004-2025 tillsynsbegäran.docx", "A 42004-2025")</f>
        <v/>
      </c>
      <c r="Y97">
        <f>HYPERLINK("https://klasma.github.io/Logging_1276/tillsynsmail/A 42004-2025 tillsynsbegäran mail.docx", "A 42004-2025")</f>
        <v/>
      </c>
      <c r="Z97">
        <f>HYPERLINK("https://klasma.github.io/Logging_1276/fåglar/A 42004-2025 prioriterade fågelarter.docx", "A 42004-2025")</f>
        <v/>
      </c>
    </row>
    <row r="98" ht="15" customHeight="1">
      <c r="A98" t="inlineStr">
        <is>
          <t>A 27738-2025</t>
        </is>
      </c>
      <c r="B98" s="1" t="n">
        <v>45815</v>
      </c>
      <c r="C98" s="1" t="n">
        <v>45962</v>
      </c>
      <c r="D98" t="inlineStr">
        <is>
          <t>SKÅNE LÄN</t>
        </is>
      </c>
      <c r="E98" t="inlineStr">
        <is>
          <t>HÖRBY</t>
        </is>
      </c>
      <c r="G98" t="n">
        <v>2.5</v>
      </c>
      <c r="H98" t="n">
        <v>0</v>
      </c>
      <c r="I98" t="n">
        <v>1</v>
      </c>
      <c r="J98" t="n">
        <v>2</v>
      </c>
      <c r="K98" t="n">
        <v>0</v>
      </c>
      <c r="L98" t="n">
        <v>0</v>
      </c>
      <c r="M98" t="n">
        <v>0</v>
      </c>
      <c r="N98" t="n">
        <v>0</v>
      </c>
      <c r="O98" t="n">
        <v>2</v>
      </c>
      <c r="P98" t="n">
        <v>0</v>
      </c>
      <c r="Q98" t="n">
        <v>3</v>
      </c>
      <c r="R98" s="2" t="inlineStr">
        <is>
          <t>Bokvårtlav
Sydlig sotticka
Västlig hakmossa</t>
        </is>
      </c>
      <c r="S98">
        <f>HYPERLINK("https://klasma.github.io/Logging_1266/artfynd/A 27738-2025 artfynd.xlsx", "A 27738-2025")</f>
        <v/>
      </c>
      <c r="T98">
        <f>HYPERLINK("https://klasma.github.io/Logging_1266/kartor/A 27738-2025 karta.png", "A 27738-2025")</f>
        <v/>
      </c>
      <c r="V98">
        <f>HYPERLINK("https://klasma.github.io/Logging_1266/klagomål/A 27738-2025 FSC-klagomål.docx", "A 27738-2025")</f>
        <v/>
      </c>
      <c r="W98">
        <f>HYPERLINK("https://klasma.github.io/Logging_1266/klagomålsmail/A 27738-2025 FSC-klagomål mail.docx", "A 27738-2025")</f>
        <v/>
      </c>
      <c r="X98">
        <f>HYPERLINK("https://klasma.github.io/Logging_1266/tillsyn/A 27738-2025 tillsynsbegäran.docx", "A 27738-2025")</f>
        <v/>
      </c>
      <c r="Y98">
        <f>HYPERLINK("https://klasma.github.io/Logging_1266/tillsynsmail/A 27738-2025 tillsynsbegäran mail.docx", "A 27738-2025")</f>
        <v/>
      </c>
    </row>
    <row r="99" ht="15" customHeight="1">
      <c r="A99" t="inlineStr">
        <is>
          <t>A 24801-2025</t>
        </is>
      </c>
      <c r="B99" s="1" t="n">
        <v>45799</v>
      </c>
      <c r="C99" s="1" t="n">
        <v>45962</v>
      </c>
      <c r="D99" t="inlineStr">
        <is>
          <t>SKÅNE LÄN</t>
        </is>
      </c>
      <c r="E99" t="inlineStr">
        <is>
          <t>HÖRBY</t>
        </is>
      </c>
      <c r="G99" t="n">
        <v>4.2</v>
      </c>
      <c r="H99" t="n">
        <v>0</v>
      </c>
      <c r="I99" t="n">
        <v>1</v>
      </c>
      <c r="J99" t="n">
        <v>0</v>
      </c>
      <c r="K99" t="n">
        <v>1</v>
      </c>
      <c r="L99" t="n">
        <v>1</v>
      </c>
      <c r="M99" t="n">
        <v>0</v>
      </c>
      <c r="N99" t="n">
        <v>0</v>
      </c>
      <c r="O99" t="n">
        <v>2</v>
      </c>
      <c r="P99" t="n">
        <v>2</v>
      </c>
      <c r="Q99" t="n">
        <v>3</v>
      </c>
      <c r="R99" s="2" t="inlineStr">
        <is>
          <t>Ask
Småvänderot
Platt fjädermossa</t>
        </is>
      </c>
      <c r="S99">
        <f>HYPERLINK("https://klasma.github.io/Logging_1266/artfynd/A 24801-2025 artfynd.xlsx", "A 24801-2025")</f>
        <v/>
      </c>
      <c r="T99">
        <f>HYPERLINK("https://klasma.github.io/Logging_1266/kartor/A 24801-2025 karta.png", "A 24801-2025")</f>
        <v/>
      </c>
      <c r="V99">
        <f>HYPERLINK("https://klasma.github.io/Logging_1266/klagomål/A 24801-2025 FSC-klagomål.docx", "A 24801-2025")</f>
        <v/>
      </c>
      <c r="W99">
        <f>HYPERLINK("https://klasma.github.io/Logging_1266/klagomålsmail/A 24801-2025 FSC-klagomål mail.docx", "A 24801-2025")</f>
        <v/>
      </c>
      <c r="X99">
        <f>HYPERLINK("https://klasma.github.io/Logging_1266/tillsyn/A 24801-2025 tillsynsbegäran.docx", "A 24801-2025")</f>
        <v/>
      </c>
      <c r="Y99">
        <f>HYPERLINK("https://klasma.github.io/Logging_1266/tillsynsmail/A 24801-2025 tillsynsbegäran mail.docx", "A 24801-2025")</f>
        <v/>
      </c>
    </row>
    <row r="100" ht="15" customHeight="1">
      <c r="A100" t="inlineStr">
        <is>
          <t>A 45242-2025</t>
        </is>
      </c>
      <c r="B100" s="1" t="n">
        <v>45919.59901620371</v>
      </c>
      <c r="C100" s="1" t="n">
        <v>45962</v>
      </c>
      <c r="D100" t="inlineStr">
        <is>
          <t>SKÅNE LÄN</t>
        </is>
      </c>
      <c r="E100" t="inlineStr">
        <is>
          <t>KLIPPAN</t>
        </is>
      </c>
      <c r="G100" t="n">
        <v>2.2</v>
      </c>
      <c r="H100" t="n">
        <v>2</v>
      </c>
      <c r="I100" t="n">
        <v>1</v>
      </c>
      <c r="J100" t="n">
        <v>1</v>
      </c>
      <c r="K100" t="n">
        <v>0</v>
      </c>
      <c r="L100" t="n">
        <v>0</v>
      </c>
      <c r="M100" t="n">
        <v>0</v>
      </c>
      <c r="N100" t="n">
        <v>0</v>
      </c>
      <c r="O100" t="n">
        <v>1</v>
      </c>
      <c r="P100" t="n">
        <v>0</v>
      </c>
      <c r="Q100" t="n">
        <v>3</v>
      </c>
      <c r="R100" s="2" t="inlineStr">
        <is>
          <t>Spillkråka
Blåmossa
Kungsfågel</t>
        </is>
      </c>
      <c r="S100">
        <f>HYPERLINK("https://klasma.github.io/Logging_1276/artfynd/A 45242-2025 artfynd.xlsx", "A 45242-2025")</f>
        <v/>
      </c>
      <c r="T100">
        <f>HYPERLINK("https://klasma.github.io/Logging_1276/kartor/A 45242-2025 karta.png", "A 45242-2025")</f>
        <v/>
      </c>
      <c r="V100">
        <f>HYPERLINK("https://klasma.github.io/Logging_1276/klagomål/A 45242-2025 FSC-klagomål.docx", "A 45242-2025")</f>
        <v/>
      </c>
      <c r="W100">
        <f>HYPERLINK("https://klasma.github.io/Logging_1276/klagomålsmail/A 45242-2025 FSC-klagomål mail.docx", "A 45242-2025")</f>
        <v/>
      </c>
      <c r="X100">
        <f>HYPERLINK("https://klasma.github.io/Logging_1276/tillsyn/A 45242-2025 tillsynsbegäran.docx", "A 45242-2025")</f>
        <v/>
      </c>
      <c r="Y100">
        <f>HYPERLINK("https://klasma.github.io/Logging_1276/tillsynsmail/A 45242-2025 tillsynsbegäran mail.docx", "A 45242-2025")</f>
        <v/>
      </c>
      <c r="Z100">
        <f>HYPERLINK("https://klasma.github.io/Logging_1276/fåglar/A 45242-2025 prioriterade fågelarter.docx", "A 45242-2025")</f>
        <v/>
      </c>
    </row>
    <row r="101" ht="15" customHeight="1">
      <c r="A101" t="inlineStr">
        <is>
          <t>A 5244-2021</t>
        </is>
      </c>
      <c r="B101" s="1" t="n">
        <v>44229</v>
      </c>
      <c r="C101" s="1" t="n">
        <v>45962</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45962</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45962</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45962</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45962</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60100-2020</t>
        </is>
      </c>
      <c r="B106" s="1" t="n">
        <v>44151</v>
      </c>
      <c r="C106" s="1" t="n">
        <v>45962</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22981-2021</t>
        </is>
      </c>
      <c r="B107" s="1" t="n">
        <v>44327</v>
      </c>
      <c r="C107" s="1" t="n">
        <v>45962</v>
      </c>
      <c r="D107" t="inlineStr">
        <is>
          <t>SKÅNE LÄN</t>
        </is>
      </c>
      <c r="E107" t="inlineStr">
        <is>
          <t>ÖSTRA GÖINGE</t>
        </is>
      </c>
      <c r="G107" t="n">
        <v>5</v>
      </c>
      <c r="H107" t="n">
        <v>1</v>
      </c>
      <c r="I107" t="n">
        <v>1</v>
      </c>
      <c r="J107" t="n">
        <v>1</v>
      </c>
      <c r="K107" t="n">
        <v>0</v>
      </c>
      <c r="L107" t="n">
        <v>0</v>
      </c>
      <c r="M107" t="n">
        <v>0</v>
      </c>
      <c r="N107" t="n">
        <v>0</v>
      </c>
      <c r="O107" t="n">
        <v>1</v>
      </c>
      <c r="P107" t="n">
        <v>0</v>
      </c>
      <c r="Q107" t="n">
        <v>2</v>
      </c>
      <c r="R107" s="2" t="inlineStr">
        <is>
          <t>Svartvit flugsnappare
Havstulpanlav</t>
        </is>
      </c>
      <c r="S107">
        <f>HYPERLINK("https://klasma.github.io/Logging_1256/artfynd/A 22981-2021 artfynd.xlsx", "A 22981-2021")</f>
        <v/>
      </c>
      <c r="T107">
        <f>HYPERLINK("https://klasma.github.io/Logging_1256/kartor/A 22981-2021 karta.png", "A 22981-2021")</f>
        <v/>
      </c>
      <c r="V107">
        <f>HYPERLINK("https://klasma.github.io/Logging_1256/klagomål/A 22981-2021 FSC-klagomål.docx", "A 22981-2021")</f>
        <v/>
      </c>
      <c r="W107">
        <f>HYPERLINK("https://klasma.github.io/Logging_1256/klagomålsmail/A 22981-2021 FSC-klagomål mail.docx", "A 22981-2021")</f>
        <v/>
      </c>
      <c r="X107">
        <f>HYPERLINK("https://klasma.github.io/Logging_1256/tillsyn/A 22981-2021 tillsynsbegäran.docx", "A 22981-2021")</f>
        <v/>
      </c>
      <c r="Y107">
        <f>HYPERLINK("https://klasma.github.io/Logging_1256/tillsynsmail/A 22981-2021 tillsynsbegäran mail.docx", "A 22981-2021")</f>
        <v/>
      </c>
      <c r="Z107">
        <f>HYPERLINK("https://klasma.github.io/Logging_1256/fåglar/A 22981-2021 prioriterade fågelarter.docx", "A 22981-2021")</f>
        <v/>
      </c>
    </row>
    <row r="108" ht="15" customHeight="1">
      <c r="A108" t="inlineStr">
        <is>
          <t>A 59690-2021</t>
        </is>
      </c>
      <c r="B108" s="1" t="n">
        <v>44494</v>
      </c>
      <c r="C108" s="1" t="n">
        <v>45962</v>
      </c>
      <c r="D108" t="inlineStr">
        <is>
          <t>SKÅNE LÄN</t>
        </is>
      </c>
      <c r="E108" t="inlineStr">
        <is>
          <t>KRISTIANSTAD</t>
        </is>
      </c>
      <c r="G108" t="n">
        <v>5.2</v>
      </c>
      <c r="H108" t="n">
        <v>1</v>
      </c>
      <c r="I108" t="n">
        <v>1</v>
      </c>
      <c r="J108" t="n">
        <v>0</v>
      </c>
      <c r="K108" t="n">
        <v>0</v>
      </c>
      <c r="L108" t="n">
        <v>0</v>
      </c>
      <c r="M108" t="n">
        <v>0</v>
      </c>
      <c r="N108" t="n">
        <v>0</v>
      </c>
      <c r="O108" t="n">
        <v>0</v>
      </c>
      <c r="P108" t="n">
        <v>0</v>
      </c>
      <c r="Q108" t="n">
        <v>2</v>
      </c>
      <c r="R108" s="2" t="inlineStr">
        <is>
          <t>Lundvårlök
Grönvit nattviol</t>
        </is>
      </c>
      <c r="S108">
        <f>HYPERLINK("https://klasma.github.io/Logging_1290/artfynd/A 59690-2021 artfynd.xlsx", "A 59690-2021")</f>
        <v/>
      </c>
      <c r="T108">
        <f>HYPERLINK("https://klasma.github.io/Logging_1290/kartor/A 59690-2021 karta.png", "A 59690-2021")</f>
        <v/>
      </c>
      <c r="V108">
        <f>HYPERLINK("https://klasma.github.io/Logging_1290/klagomål/A 59690-2021 FSC-klagomål.docx", "A 59690-2021")</f>
        <v/>
      </c>
      <c r="W108">
        <f>HYPERLINK("https://klasma.github.io/Logging_1290/klagomålsmail/A 59690-2021 FSC-klagomål mail.docx", "A 59690-2021")</f>
        <v/>
      </c>
      <c r="X108">
        <f>HYPERLINK("https://klasma.github.io/Logging_1290/tillsyn/A 59690-2021 tillsynsbegäran.docx", "A 59690-2021")</f>
        <v/>
      </c>
      <c r="Y108">
        <f>HYPERLINK("https://klasma.github.io/Logging_1290/tillsynsmail/A 59690-2021 tillsynsbegäran mail.docx", "A 59690-2021")</f>
        <v/>
      </c>
    </row>
    <row r="109" ht="15" customHeight="1">
      <c r="A109" t="inlineStr">
        <is>
          <t>A 28929-2022</t>
        </is>
      </c>
      <c r="B109" s="1" t="n">
        <v>44749</v>
      </c>
      <c r="C109" s="1" t="n">
        <v>45962</v>
      </c>
      <c r="D109" t="inlineStr">
        <is>
          <t>SKÅNE LÄN</t>
        </is>
      </c>
      <c r="E109" t="inlineStr">
        <is>
          <t>SJÖBO</t>
        </is>
      </c>
      <c r="G109" t="n">
        <v>1</v>
      </c>
      <c r="H109" t="n">
        <v>2</v>
      </c>
      <c r="I109" t="n">
        <v>0</v>
      </c>
      <c r="J109" t="n">
        <v>0</v>
      </c>
      <c r="K109" t="n">
        <v>0</v>
      </c>
      <c r="L109" t="n">
        <v>0</v>
      </c>
      <c r="M109" t="n">
        <v>0</v>
      </c>
      <c r="N109" t="n">
        <v>0</v>
      </c>
      <c r="O109" t="n">
        <v>0</v>
      </c>
      <c r="P109" t="n">
        <v>0</v>
      </c>
      <c r="Q109" t="n">
        <v>2</v>
      </c>
      <c r="R109" s="2" t="inlineStr">
        <is>
          <t>Lövgroda
Större vattensalamander</t>
        </is>
      </c>
      <c r="S109">
        <f>HYPERLINK("https://klasma.github.io/Logging_1265/artfynd/A 28929-2022 artfynd.xlsx", "A 28929-2022")</f>
        <v/>
      </c>
      <c r="T109">
        <f>HYPERLINK("https://klasma.github.io/Logging_1265/kartor/A 28929-2022 karta.png", "A 28929-2022")</f>
        <v/>
      </c>
      <c r="V109">
        <f>HYPERLINK("https://klasma.github.io/Logging_1265/klagomål/A 28929-2022 FSC-klagomål.docx", "A 28929-2022")</f>
        <v/>
      </c>
      <c r="W109">
        <f>HYPERLINK("https://klasma.github.io/Logging_1265/klagomålsmail/A 28929-2022 FSC-klagomål mail.docx", "A 28929-2022")</f>
        <v/>
      </c>
      <c r="X109">
        <f>HYPERLINK("https://klasma.github.io/Logging_1265/tillsyn/A 28929-2022 tillsynsbegäran.docx", "A 28929-2022")</f>
        <v/>
      </c>
      <c r="Y109">
        <f>HYPERLINK("https://klasma.github.io/Logging_1265/tillsynsmail/A 28929-2022 tillsynsbegäran mail.docx", "A 28929-2022")</f>
        <v/>
      </c>
    </row>
    <row r="110" ht="15" customHeight="1">
      <c r="A110" t="inlineStr">
        <is>
          <t>A 54306-2021</t>
        </is>
      </c>
      <c r="B110" s="1" t="n">
        <v>44472</v>
      </c>
      <c r="C110" s="1" t="n">
        <v>45962</v>
      </c>
      <c r="D110" t="inlineStr">
        <is>
          <t>SKÅNE LÄN</t>
        </is>
      </c>
      <c r="E110" t="inlineStr">
        <is>
          <t>OSBY</t>
        </is>
      </c>
      <c r="G110" t="n">
        <v>2.3</v>
      </c>
      <c r="H110" t="n">
        <v>0</v>
      </c>
      <c r="I110" t="n">
        <v>2</v>
      </c>
      <c r="J110" t="n">
        <v>0</v>
      </c>
      <c r="K110" t="n">
        <v>0</v>
      </c>
      <c r="L110" t="n">
        <v>0</v>
      </c>
      <c r="M110" t="n">
        <v>0</v>
      </c>
      <c r="N110" t="n">
        <v>0</v>
      </c>
      <c r="O110" t="n">
        <v>0</v>
      </c>
      <c r="P110" t="n">
        <v>0</v>
      </c>
      <c r="Q110" t="n">
        <v>2</v>
      </c>
      <c r="R110" s="2" t="inlineStr">
        <is>
          <t>Bårdlav
Fällmossa</t>
        </is>
      </c>
      <c r="S110">
        <f>HYPERLINK("https://klasma.github.io/Logging_1273/artfynd/A 54306-2021 artfynd.xlsx", "A 54306-2021")</f>
        <v/>
      </c>
      <c r="T110">
        <f>HYPERLINK("https://klasma.github.io/Logging_1273/kartor/A 54306-2021 karta.png", "A 54306-2021")</f>
        <v/>
      </c>
      <c r="V110">
        <f>HYPERLINK("https://klasma.github.io/Logging_1273/klagomål/A 54306-2021 FSC-klagomål.docx", "A 54306-2021")</f>
        <v/>
      </c>
      <c r="W110">
        <f>HYPERLINK("https://klasma.github.io/Logging_1273/klagomålsmail/A 54306-2021 FSC-klagomål mail.docx", "A 54306-2021")</f>
        <v/>
      </c>
      <c r="X110">
        <f>HYPERLINK("https://klasma.github.io/Logging_1273/tillsyn/A 54306-2021 tillsynsbegäran.docx", "A 54306-2021")</f>
        <v/>
      </c>
      <c r="Y110">
        <f>HYPERLINK("https://klasma.github.io/Logging_1273/tillsynsmail/A 54306-2021 tillsynsbegäran mail.docx", "A 54306-2021")</f>
        <v/>
      </c>
    </row>
    <row r="111" ht="15" customHeight="1">
      <c r="A111" t="inlineStr">
        <is>
          <t>A 3853-2021</t>
        </is>
      </c>
      <c r="B111" s="1" t="n">
        <v>44222</v>
      </c>
      <c r="C111" s="1" t="n">
        <v>45962</v>
      </c>
      <c r="D111" t="inlineStr">
        <is>
          <t>SKÅNE LÄN</t>
        </is>
      </c>
      <c r="E111" t="inlineStr">
        <is>
          <t>ÖSTRA GÖINGE</t>
        </is>
      </c>
      <c r="G111" t="n">
        <v>1.4</v>
      </c>
      <c r="H111" t="n">
        <v>0</v>
      </c>
      <c r="I111" t="n">
        <v>2</v>
      </c>
      <c r="J111" t="n">
        <v>0</v>
      </c>
      <c r="K111" t="n">
        <v>0</v>
      </c>
      <c r="L111" t="n">
        <v>0</v>
      </c>
      <c r="M111" t="n">
        <v>0</v>
      </c>
      <c r="N111" t="n">
        <v>0</v>
      </c>
      <c r="O111" t="n">
        <v>0</v>
      </c>
      <c r="P111" t="n">
        <v>0</v>
      </c>
      <c r="Q111" t="n">
        <v>2</v>
      </c>
      <c r="R111" s="2" t="inlineStr">
        <is>
          <t>Guldlockmossa
Platt fjädermossa</t>
        </is>
      </c>
      <c r="S111">
        <f>HYPERLINK("https://klasma.github.io/Logging_1256/artfynd/A 3853-2021 artfynd.xlsx", "A 3853-2021")</f>
        <v/>
      </c>
      <c r="T111">
        <f>HYPERLINK("https://klasma.github.io/Logging_1256/kartor/A 3853-2021 karta.png", "A 3853-2021")</f>
        <v/>
      </c>
      <c r="V111">
        <f>HYPERLINK("https://klasma.github.io/Logging_1256/klagomål/A 3853-2021 FSC-klagomål.docx", "A 3853-2021")</f>
        <v/>
      </c>
      <c r="W111">
        <f>HYPERLINK("https://klasma.github.io/Logging_1256/klagomålsmail/A 3853-2021 FSC-klagomål mail.docx", "A 3853-2021")</f>
        <v/>
      </c>
      <c r="X111">
        <f>HYPERLINK("https://klasma.github.io/Logging_1256/tillsyn/A 3853-2021 tillsynsbegäran.docx", "A 3853-2021")</f>
        <v/>
      </c>
      <c r="Y111">
        <f>HYPERLINK("https://klasma.github.io/Logging_1256/tillsynsmail/A 3853-2021 tillsynsbegäran mail.docx", "A 3853-2021")</f>
        <v/>
      </c>
    </row>
    <row r="112" ht="15" customHeight="1">
      <c r="A112" t="inlineStr">
        <is>
          <t>A 365-2023</t>
        </is>
      </c>
      <c r="B112" s="1" t="n">
        <v>44929.54778935185</v>
      </c>
      <c r="C112" s="1" t="n">
        <v>45962</v>
      </c>
      <c r="D112" t="inlineStr">
        <is>
          <t>SKÅNE LÄN</t>
        </is>
      </c>
      <c r="E112" t="inlineStr">
        <is>
          <t>ÖSTRA GÖINGE</t>
        </is>
      </c>
      <c r="G112" t="n">
        <v>2.9</v>
      </c>
      <c r="H112" t="n">
        <v>2</v>
      </c>
      <c r="I112" t="n">
        <v>0</v>
      </c>
      <c r="J112" t="n">
        <v>2</v>
      </c>
      <c r="K112" t="n">
        <v>0</v>
      </c>
      <c r="L112" t="n">
        <v>0</v>
      </c>
      <c r="M112" t="n">
        <v>0</v>
      </c>
      <c r="N112" t="n">
        <v>0</v>
      </c>
      <c r="O112" t="n">
        <v>2</v>
      </c>
      <c r="P112" t="n">
        <v>0</v>
      </c>
      <c r="Q112" t="n">
        <v>2</v>
      </c>
      <c r="R112" s="2" t="inlineStr">
        <is>
          <t>Grönsångare
Svartvit flugsnappare</t>
        </is>
      </c>
      <c r="S112">
        <f>HYPERLINK("https://klasma.github.io/Logging_1256/artfynd/A 365-2023 artfynd.xlsx", "A 365-2023")</f>
        <v/>
      </c>
      <c r="T112">
        <f>HYPERLINK("https://klasma.github.io/Logging_1256/kartor/A 365-2023 karta.png", "A 365-2023")</f>
        <v/>
      </c>
      <c r="V112">
        <f>HYPERLINK("https://klasma.github.io/Logging_1256/klagomål/A 365-2023 FSC-klagomål.docx", "A 365-2023")</f>
        <v/>
      </c>
      <c r="W112">
        <f>HYPERLINK("https://klasma.github.io/Logging_1256/klagomålsmail/A 365-2023 FSC-klagomål mail.docx", "A 365-2023")</f>
        <v/>
      </c>
      <c r="X112">
        <f>HYPERLINK("https://klasma.github.io/Logging_1256/tillsyn/A 365-2023 tillsynsbegäran.docx", "A 365-2023")</f>
        <v/>
      </c>
      <c r="Y112">
        <f>HYPERLINK("https://klasma.github.io/Logging_1256/tillsynsmail/A 365-2023 tillsynsbegäran mail.docx", "A 365-2023")</f>
        <v/>
      </c>
      <c r="Z112">
        <f>HYPERLINK("https://klasma.github.io/Logging_1256/fåglar/A 365-2023 prioriterade fågelarter.docx", "A 365-2023")</f>
        <v/>
      </c>
    </row>
    <row r="113" ht="15" customHeight="1">
      <c r="A113" t="inlineStr">
        <is>
          <t>A 15229-2023</t>
        </is>
      </c>
      <c r="B113" s="1" t="n">
        <v>45016</v>
      </c>
      <c r="C113" s="1" t="n">
        <v>45962</v>
      </c>
      <c r="D113" t="inlineStr">
        <is>
          <t>SKÅNE LÄN</t>
        </is>
      </c>
      <c r="E113" t="inlineStr">
        <is>
          <t>KRISTIANSTAD</t>
        </is>
      </c>
      <c r="G113" t="n">
        <v>1.2</v>
      </c>
      <c r="H113" t="n">
        <v>2</v>
      </c>
      <c r="I113" t="n">
        <v>0</v>
      </c>
      <c r="J113" t="n">
        <v>2</v>
      </c>
      <c r="K113" t="n">
        <v>0</v>
      </c>
      <c r="L113" t="n">
        <v>0</v>
      </c>
      <c r="M113" t="n">
        <v>0</v>
      </c>
      <c r="N113" t="n">
        <v>0</v>
      </c>
      <c r="O113" t="n">
        <v>2</v>
      </c>
      <c r="P113" t="n">
        <v>0</v>
      </c>
      <c r="Q113" t="n">
        <v>2</v>
      </c>
      <c r="R113" s="2" t="inlineStr">
        <is>
          <t>Buskskvätta
Drillsnäppa</t>
        </is>
      </c>
      <c r="S113">
        <f>HYPERLINK("https://klasma.github.io/Logging_1290/artfynd/A 15229-2023 artfynd.xlsx", "A 15229-2023")</f>
        <v/>
      </c>
      <c r="T113">
        <f>HYPERLINK("https://klasma.github.io/Logging_1290/kartor/A 15229-2023 karta.png", "A 15229-2023")</f>
        <v/>
      </c>
      <c r="V113">
        <f>HYPERLINK("https://klasma.github.io/Logging_1290/klagomål/A 15229-2023 FSC-klagomål.docx", "A 15229-2023")</f>
        <v/>
      </c>
      <c r="W113">
        <f>HYPERLINK("https://klasma.github.io/Logging_1290/klagomålsmail/A 15229-2023 FSC-klagomål mail.docx", "A 15229-2023")</f>
        <v/>
      </c>
      <c r="X113">
        <f>HYPERLINK("https://klasma.github.io/Logging_1290/tillsyn/A 15229-2023 tillsynsbegäran.docx", "A 15229-2023")</f>
        <v/>
      </c>
      <c r="Y113">
        <f>HYPERLINK("https://klasma.github.io/Logging_1290/tillsynsmail/A 15229-2023 tillsynsbegäran mail.docx", "A 15229-2023")</f>
        <v/>
      </c>
      <c r="Z113">
        <f>HYPERLINK("https://klasma.github.io/Logging_1290/fåglar/A 15229-2023 prioriterade fågelarter.docx", "A 15229-2023")</f>
        <v/>
      </c>
    </row>
    <row r="114" ht="15" customHeight="1">
      <c r="A114" t="inlineStr">
        <is>
          <t>A 22776-2024</t>
        </is>
      </c>
      <c r="B114" s="1" t="n">
        <v>45448.47032407407</v>
      </c>
      <c r="C114" s="1" t="n">
        <v>45962</v>
      </c>
      <c r="D114" t="inlineStr">
        <is>
          <t>SKÅNE LÄN</t>
        </is>
      </c>
      <c r="E114" t="inlineStr">
        <is>
          <t>LUND</t>
        </is>
      </c>
      <c r="G114" t="n">
        <v>5.6</v>
      </c>
      <c r="H114" t="n">
        <v>1</v>
      </c>
      <c r="I114" t="n">
        <v>0</v>
      </c>
      <c r="J114" t="n">
        <v>0</v>
      </c>
      <c r="K114" t="n">
        <v>1</v>
      </c>
      <c r="L114" t="n">
        <v>0</v>
      </c>
      <c r="M114" t="n">
        <v>0</v>
      </c>
      <c r="N114" t="n">
        <v>0</v>
      </c>
      <c r="O114" t="n">
        <v>1</v>
      </c>
      <c r="P114" t="n">
        <v>1</v>
      </c>
      <c r="Q114" t="n">
        <v>2</v>
      </c>
      <c r="R114" s="2" t="inlineStr">
        <is>
          <t>Slåttergubbe
Grönvit nattviol</t>
        </is>
      </c>
      <c r="S114">
        <f>HYPERLINK("https://klasma.github.io/Logging_1281/artfynd/A 22776-2024 artfynd.xlsx", "A 22776-2024")</f>
        <v/>
      </c>
      <c r="T114">
        <f>HYPERLINK("https://klasma.github.io/Logging_1281/kartor/A 22776-2024 karta.png", "A 22776-2024")</f>
        <v/>
      </c>
      <c r="V114">
        <f>HYPERLINK("https://klasma.github.io/Logging_1281/klagomål/A 22776-2024 FSC-klagomål.docx", "A 22776-2024")</f>
        <v/>
      </c>
      <c r="W114">
        <f>HYPERLINK("https://klasma.github.io/Logging_1281/klagomålsmail/A 22776-2024 FSC-klagomål mail.docx", "A 22776-2024")</f>
        <v/>
      </c>
      <c r="X114">
        <f>HYPERLINK("https://klasma.github.io/Logging_1281/tillsyn/A 22776-2024 tillsynsbegäran.docx", "A 22776-2024")</f>
        <v/>
      </c>
      <c r="Y114">
        <f>HYPERLINK("https://klasma.github.io/Logging_1281/tillsynsmail/A 22776-2024 tillsynsbegäran mail.docx", "A 22776-2024")</f>
        <v/>
      </c>
    </row>
    <row r="115" ht="15" customHeight="1">
      <c r="A115" t="inlineStr">
        <is>
          <t>A 26984-2022</t>
        </is>
      </c>
      <c r="B115" s="1" t="n">
        <v>44740.72620370371</v>
      </c>
      <c r="C115" s="1" t="n">
        <v>45962</v>
      </c>
      <c r="D115" t="inlineStr">
        <is>
          <t>SKÅNE LÄN</t>
        </is>
      </c>
      <c r="E115" t="inlineStr">
        <is>
          <t>LUND</t>
        </is>
      </c>
      <c r="G115" t="n">
        <v>2.9</v>
      </c>
      <c r="H115" t="n">
        <v>2</v>
      </c>
      <c r="I115" t="n">
        <v>0</v>
      </c>
      <c r="J115" t="n">
        <v>1</v>
      </c>
      <c r="K115" t="n">
        <v>1</v>
      </c>
      <c r="L115" t="n">
        <v>0</v>
      </c>
      <c r="M115" t="n">
        <v>0</v>
      </c>
      <c r="N115" t="n">
        <v>0</v>
      </c>
      <c r="O115" t="n">
        <v>2</v>
      </c>
      <c r="P115" t="n">
        <v>1</v>
      </c>
      <c r="Q115" t="n">
        <v>2</v>
      </c>
      <c r="R115" s="2" t="inlineStr">
        <is>
          <t>Lökgroda
Strandpadda</t>
        </is>
      </c>
      <c r="S115">
        <f>HYPERLINK("https://klasma.github.io/Logging_1281/artfynd/A 26984-2022 artfynd.xlsx", "A 26984-2022")</f>
        <v/>
      </c>
      <c r="T115">
        <f>HYPERLINK("https://klasma.github.io/Logging_1281/kartor/A 26984-2022 karta.png", "A 26984-2022")</f>
        <v/>
      </c>
      <c r="V115">
        <f>HYPERLINK("https://klasma.github.io/Logging_1281/klagomål/A 26984-2022 FSC-klagomål.docx", "A 26984-2022")</f>
        <v/>
      </c>
      <c r="W115">
        <f>HYPERLINK("https://klasma.github.io/Logging_1281/klagomålsmail/A 26984-2022 FSC-klagomål mail.docx", "A 26984-2022")</f>
        <v/>
      </c>
      <c r="X115">
        <f>HYPERLINK("https://klasma.github.io/Logging_1281/tillsyn/A 26984-2022 tillsynsbegäran.docx", "A 26984-2022")</f>
        <v/>
      </c>
      <c r="Y115">
        <f>HYPERLINK("https://klasma.github.io/Logging_1281/tillsynsmail/A 26984-2022 tillsynsbegäran mail.docx", "A 26984-2022")</f>
        <v/>
      </c>
    </row>
    <row r="116" ht="15" customHeight="1">
      <c r="A116" t="inlineStr">
        <is>
          <t>A 55499-2024</t>
        </is>
      </c>
      <c r="B116" s="1" t="n">
        <v>45622</v>
      </c>
      <c r="C116" s="1" t="n">
        <v>45962</v>
      </c>
      <c r="D116" t="inlineStr">
        <is>
          <t>SKÅNE LÄN</t>
        </is>
      </c>
      <c r="E116" t="inlineStr">
        <is>
          <t>KRISTIANSTAD</t>
        </is>
      </c>
      <c r="F116" t="inlineStr">
        <is>
          <t>Övriga Aktiebolag</t>
        </is>
      </c>
      <c r="G116" t="n">
        <v>2.1</v>
      </c>
      <c r="H116" t="n">
        <v>1</v>
      </c>
      <c r="I116" t="n">
        <v>0</v>
      </c>
      <c r="J116" t="n">
        <v>0</v>
      </c>
      <c r="K116" t="n">
        <v>1</v>
      </c>
      <c r="L116" t="n">
        <v>0</v>
      </c>
      <c r="M116" t="n">
        <v>0</v>
      </c>
      <c r="N116" t="n">
        <v>0</v>
      </c>
      <c r="O116" t="n">
        <v>1</v>
      </c>
      <c r="P116" t="n">
        <v>1</v>
      </c>
      <c r="Q116" t="n">
        <v>2</v>
      </c>
      <c r="R116" s="2" t="inlineStr">
        <is>
          <t>Hedpärlemorfjäril
Grönvit nattviol</t>
        </is>
      </c>
      <c r="S116">
        <f>HYPERLINK("https://klasma.github.io/Logging_1290/artfynd/A 55499-2024 artfynd.xlsx", "A 55499-2024")</f>
        <v/>
      </c>
      <c r="T116">
        <f>HYPERLINK("https://klasma.github.io/Logging_1290/kartor/A 55499-2024 karta.png", "A 55499-2024")</f>
        <v/>
      </c>
      <c r="V116">
        <f>HYPERLINK("https://klasma.github.io/Logging_1290/klagomål/A 55499-2024 FSC-klagomål.docx", "A 55499-2024")</f>
        <v/>
      </c>
      <c r="W116">
        <f>HYPERLINK("https://klasma.github.io/Logging_1290/klagomålsmail/A 55499-2024 FSC-klagomål mail.docx", "A 55499-2024")</f>
        <v/>
      </c>
      <c r="X116">
        <f>HYPERLINK("https://klasma.github.io/Logging_1290/tillsyn/A 55499-2024 tillsynsbegäran.docx", "A 55499-2024")</f>
        <v/>
      </c>
      <c r="Y116">
        <f>HYPERLINK("https://klasma.github.io/Logging_1290/tillsynsmail/A 55499-2024 tillsynsbegäran mail.docx", "A 55499-2024")</f>
        <v/>
      </c>
    </row>
    <row r="117" ht="15" customHeight="1">
      <c r="A117" t="inlineStr">
        <is>
          <t>A 15571-2024</t>
        </is>
      </c>
      <c r="B117" s="1" t="n">
        <v>45401</v>
      </c>
      <c r="C117" s="1" t="n">
        <v>45962</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56294-2022</t>
        </is>
      </c>
      <c r="B118" s="1" t="n">
        <v>44887</v>
      </c>
      <c r="C118" s="1" t="n">
        <v>45962</v>
      </c>
      <c r="D118" t="inlineStr">
        <is>
          <t>SKÅNE LÄN</t>
        </is>
      </c>
      <c r="E118" t="inlineStr">
        <is>
          <t>SJÖBO</t>
        </is>
      </c>
      <c r="G118" t="n">
        <v>4.6</v>
      </c>
      <c r="H118" t="n">
        <v>0</v>
      </c>
      <c r="I118" t="n">
        <v>2</v>
      </c>
      <c r="J118" t="n">
        <v>0</v>
      </c>
      <c r="K118" t="n">
        <v>0</v>
      </c>
      <c r="L118" t="n">
        <v>0</v>
      </c>
      <c r="M118" t="n">
        <v>0</v>
      </c>
      <c r="N118" t="n">
        <v>0</v>
      </c>
      <c r="O118" t="n">
        <v>0</v>
      </c>
      <c r="P118" t="n">
        <v>0</v>
      </c>
      <c r="Q118" t="n">
        <v>2</v>
      </c>
      <c r="R118" s="2" t="inlineStr">
        <is>
          <t>Myskmadra
Strävlosta</t>
        </is>
      </c>
      <c r="S118">
        <f>HYPERLINK("https://klasma.github.io/Logging_1265/artfynd/A 56294-2022 artfynd.xlsx", "A 56294-2022")</f>
        <v/>
      </c>
      <c r="T118">
        <f>HYPERLINK("https://klasma.github.io/Logging_1265/kartor/A 56294-2022 karta.png", "A 56294-2022")</f>
        <v/>
      </c>
      <c r="V118">
        <f>HYPERLINK("https://klasma.github.io/Logging_1265/klagomål/A 56294-2022 FSC-klagomål.docx", "A 56294-2022")</f>
        <v/>
      </c>
      <c r="W118">
        <f>HYPERLINK("https://klasma.github.io/Logging_1265/klagomålsmail/A 56294-2022 FSC-klagomål mail.docx", "A 56294-2022")</f>
        <v/>
      </c>
      <c r="X118">
        <f>HYPERLINK("https://klasma.github.io/Logging_1265/tillsyn/A 56294-2022 tillsynsbegäran.docx", "A 56294-2022")</f>
        <v/>
      </c>
      <c r="Y118">
        <f>HYPERLINK("https://klasma.github.io/Logging_1265/tillsynsmail/A 56294-2022 tillsynsbegäran mail.docx", "A 56294-2022")</f>
        <v/>
      </c>
    </row>
    <row r="119" ht="15" customHeight="1">
      <c r="A119" t="inlineStr">
        <is>
          <t>A 33364-2023</t>
        </is>
      </c>
      <c r="B119" s="1" t="n">
        <v>45128</v>
      </c>
      <c r="C119" s="1" t="n">
        <v>45962</v>
      </c>
      <c r="D119" t="inlineStr">
        <is>
          <t>SKÅNE LÄN</t>
        </is>
      </c>
      <c r="E119" t="inlineStr">
        <is>
          <t>KRISTIANSTAD</t>
        </is>
      </c>
      <c r="G119" t="n">
        <v>4.9</v>
      </c>
      <c r="H119" t="n">
        <v>1</v>
      </c>
      <c r="I119" t="n">
        <v>1</v>
      </c>
      <c r="J119" t="n">
        <v>0</v>
      </c>
      <c r="K119" t="n">
        <v>0</v>
      </c>
      <c r="L119" t="n">
        <v>0</v>
      </c>
      <c r="M119" t="n">
        <v>0</v>
      </c>
      <c r="N119" t="n">
        <v>0</v>
      </c>
      <c r="O119" t="n">
        <v>0</v>
      </c>
      <c r="P119" t="n">
        <v>0</v>
      </c>
      <c r="Q119" t="n">
        <v>2</v>
      </c>
      <c r="R119" s="2" t="inlineStr">
        <is>
          <t>Västlig hakmossa
Större vattensalamander</t>
        </is>
      </c>
      <c r="S119">
        <f>HYPERLINK("https://klasma.github.io/Logging_1290/artfynd/A 33364-2023 artfynd.xlsx", "A 33364-2023")</f>
        <v/>
      </c>
      <c r="T119">
        <f>HYPERLINK("https://klasma.github.io/Logging_1290/kartor/A 33364-2023 karta.png", "A 33364-2023")</f>
        <v/>
      </c>
      <c r="V119">
        <f>HYPERLINK("https://klasma.github.io/Logging_1290/klagomål/A 33364-2023 FSC-klagomål.docx", "A 33364-2023")</f>
        <v/>
      </c>
      <c r="W119">
        <f>HYPERLINK("https://klasma.github.io/Logging_1290/klagomålsmail/A 33364-2023 FSC-klagomål mail.docx", "A 33364-2023")</f>
        <v/>
      </c>
      <c r="X119">
        <f>HYPERLINK("https://klasma.github.io/Logging_1290/tillsyn/A 33364-2023 tillsynsbegäran.docx", "A 33364-2023")</f>
        <v/>
      </c>
      <c r="Y119">
        <f>HYPERLINK("https://klasma.github.io/Logging_1290/tillsynsmail/A 33364-2023 tillsynsbegäran mail.docx", "A 33364-2023")</f>
        <v/>
      </c>
    </row>
    <row r="120" ht="15" customHeight="1">
      <c r="A120" t="inlineStr">
        <is>
          <t>A 37585-2024</t>
        </is>
      </c>
      <c r="B120" s="1" t="n">
        <v>45541.46270833333</v>
      </c>
      <c r="C120" s="1" t="n">
        <v>45962</v>
      </c>
      <c r="D120" t="inlineStr">
        <is>
          <t>SKÅNE LÄN</t>
        </is>
      </c>
      <c r="E120" t="inlineStr">
        <is>
          <t>ÖSTRA GÖINGE</t>
        </is>
      </c>
      <c r="G120" t="n">
        <v>22.7</v>
      </c>
      <c r="H120" t="n">
        <v>1</v>
      </c>
      <c r="I120" t="n">
        <v>0</v>
      </c>
      <c r="J120" t="n">
        <v>1</v>
      </c>
      <c r="K120" t="n">
        <v>0</v>
      </c>
      <c r="L120" t="n">
        <v>0</v>
      </c>
      <c r="M120" t="n">
        <v>0</v>
      </c>
      <c r="N120" t="n">
        <v>0</v>
      </c>
      <c r="O120" t="n">
        <v>1</v>
      </c>
      <c r="P120" t="n">
        <v>0</v>
      </c>
      <c r="Q120" t="n">
        <v>2</v>
      </c>
      <c r="R120" s="2" t="inlineStr">
        <is>
          <t>Gullklöver
Fläcknycklar</t>
        </is>
      </c>
      <c r="S120">
        <f>HYPERLINK("https://klasma.github.io/Logging_1256/artfynd/A 37585-2024 artfynd.xlsx", "A 37585-2024")</f>
        <v/>
      </c>
      <c r="T120">
        <f>HYPERLINK("https://klasma.github.io/Logging_1256/kartor/A 37585-2024 karta.png", "A 37585-2024")</f>
        <v/>
      </c>
      <c r="V120">
        <f>HYPERLINK("https://klasma.github.io/Logging_1256/klagomål/A 37585-2024 FSC-klagomål.docx", "A 37585-2024")</f>
        <v/>
      </c>
      <c r="W120">
        <f>HYPERLINK("https://klasma.github.io/Logging_1256/klagomålsmail/A 37585-2024 FSC-klagomål mail.docx", "A 37585-2024")</f>
        <v/>
      </c>
      <c r="X120">
        <f>HYPERLINK("https://klasma.github.io/Logging_1256/tillsyn/A 37585-2024 tillsynsbegäran.docx", "A 37585-2024")</f>
        <v/>
      </c>
      <c r="Y120">
        <f>HYPERLINK("https://klasma.github.io/Logging_1256/tillsynsmail/A 37585-2024 tillsynsbegäran mail.docx", "A 37585-2024")</f>
        <v/>
      </c>
    </row>
    <row r="121" ht="15" customHeight="1">
      <c r="A121" t="inlineStr">
        <is>
          <t>A 10617-2025</t>
        </is>
      </c>
      <c r="B121" s="1" t="n">
        <v>45721.61657407408</v>
      </c>
      <c r="C121" s="1" t="n">
        <v>45962</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45962</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8065-2025</t>
        </is>
      </c>
      <c r="B123" s="1" t="n">
        <v>45707</v>
      </c>
      <c r="C123" s="1" t="n">
        <v>45962</v>
      </c>
      <c r="D123" t="inlineStr">
        <is>
          <t>SKÅNE LÄN</t>
        </is>
      </c>
      <c r="E123" t="inlineStr">
        <is>
          <t>ÄNGELHOLM</t>
        </is>
      </c>
      <c r="G123" t="n">
        <v>3.3</v>
      </c>
      <c r="H123" t="n">
        <v>0</v>
      </c>
      <c r="I123" t="n">
        <v>0</v>
      </c>
      <c r="J123" t="n">
        <v>1</v>
      </c>
      <c r="K123" t="n">
        <v>1</v>
      </c>
      <c r="L123" t="n">
        <v>0</v>
      </c>
      <c r="M123" t="n">
        <v>0</v>
      </c>
      <c r="N123" t="n">
        <v>0</v>
      </c>
      <c r="O123" t="n">
        <v>2</v>
      </c>
      <c r="P123" t="n">
        <v>1</v>
      </c>
      <c r="Q123" t="n">
        <v>2</v>
      </c>
      <c r="R123" s="2" t="inlineStr">
        <is>
          <t>Småvänderot
Svinrot</t>
        </is>
      </c>
      <c r="S123">
        <f>HYPERLINK("https://klasma.github.io/Logging_1292/artfynd/A 8065-2025 artfynd.xlsx", "A 8065-2025")</f>
        <v/>
      </c>
      <c r="T123">
        <f>HYPERLINK("https://klasma.github.io/Logging_1292/kartor/A 8065-2025 karta.png", "A 8065-2025")</f>
        <v/>
      </c>
      <c r="V123">
        <f>HYPERLINK("https://klasma.github.io/Logging_1292/klagomål/A 8065-2025 FSC-klagomål.docx", "A 8065-2025")</f>
        <v/>
      </c>
      <c r="W123">
        <f>HYPERLINK("https://klasma.github.io/Logging_1292/klagomålsmail/A 8065-2025 FSC-klagomål mail.docx", "A 8065-2025")</f>
        <v/>
      </c>
      <c r="X123">
        <f>HYPERLINK("https://klasma.github.io/Logging_1292/tillsyn/A 8065-2025 tillsynsbegäran.docx", "A 8065-2025")</f>
        <v/>
      </c>
      <c r="Y123">
        <f>HYPERLINK("https://klasma.github.io/Logging_1292/tillsynsmail/A 8065-2025 tillsynsbegäran mail.docx", "A 8065-2025")</f>
        <v/>
      </c>
    </row>
    <row r="124" ht="15" customHeight="1">
      <c r="A124" t="inlineStr">
        <is>
          <t>A 1415-2024</t>
        </is>
      </c>
      <c r="B124" s="1" t="n">
        <v>45303</v>
      </c>
      <c r="C124" s="1" t="n">
        <v>45962</v>
      </c>
      <c r="D124" t="inlineStr">
        <is>
          <t>SKÅNE LÄN</t>
        </is>
      </c>
      <c r="E124" t="inlineStr">
        <is>
          <t>KRISTIANSTAD</t>
        </is>
      </c>
      <c r="F124" t="inlineStr">
        <is>
          <t>Övriga Aktiebolag</t>
        </is>
      </c>
      <c r="G124" t="n">
        <v>3.1</v>
      </c>
      <c r="H124" t="n">
        <v>0</v>
      </c>
      <c r="I124" t="n">
        <v>2</v>
      </c>
      <c r="J124" t="n">
        <v>0</v>
      </c>
      <c r="K124" t="n">
        <v>0</v>
      </c>
      <c r="L124" t="n">
        <v>0</v>
      </c>
      <c r="M124" t="n">
        <v>0</v>
      </c>
      <c r="N124" t="n">
        <v>0</v>
      </c>
      <c r="O124" t="n">
        <v>0</v>
      </c>
      <c r="P124" t="n">
        <v>0</v>
      </c>
      <c r="Q124" t="n">
        <v>2</v>
      </c>
      <c r="R124" s="2" t="inlineStr">
        <is>
          <t>Liten stinksvamp
Rutbläcksvamp</t>
        </is>
      </c>
      <c r="S124">
        <f>HYPERLINK("https://klasma.github.io/Logging_1290/artfynd/A 1415-2024 artfynd.xlsx", "A 1415-2024")</f>
        <v/>
      </c>
      <c r="T124">
        <f>HYPERLINK("https://klasma.github.io/Logging_1290/kartor/A 1415-2024 karta.png", "A 1415-2024")</f>
        <v/>
      </c>
      <c r="V124">
        <f>HYPERLINK("https://klasma.github.io/Logging_1290/klagomål/A 1415-2024 FSC-klagomål.docx", "A 1415-2024")</f>
        <v/>
      </c>
      <c r="W124">
        <f>HYPERLINK("https://klasma.github.io/Logging_1290/klagomålsmail/A 1415-2024 FSC-klagomål mail.docx", "A 1415-2024")</f>
        <v/>
      </c>
      <c r="X124">
        <f>HYPERLINK("https://klasma.github.io/Logging_1290/tillsyn/A 1415-2024 tillsynsbegäran.docx", "A 1415-2024")</f>
        <v/>
      </c>
      <c r="Y124">
        <f>HYPERLINK("https://klasma.github.io/Logging_1290/tillsynsmail/A 1415-2024 tillsynsbegäran mail.docx", "A 1415-2024")</f>
        <v/>
      </c>
    </row>
    <row r="125" ht="15" customHeight="1">
      <c r="A125" t="inlineStr">
        <is>
          <t>A 61064-2024</t>
        </is>
      </c>
      <c r="B125" s="1" t="n">
        <v>45645.49443287037</v>
      </c>
      <c r="C125" s="1" t="n">
        <v>45962</v>
      </c>
      <c r="D125" t="inlineStr">
        <is>
          <t>SKÅNE LÄN</t>
        </is>
      </c>
      <c r="E125" t="inlineStr">
        <is>
          <t>SVALÖV</t>
        </is>
      </c>
      <c r="G125" t="n">
        <v>5.6</v>
      </c>
      <c r="H125" t="n">
        <v>1</v>
      </c>
      <c r="I125" t="n">
        <v>1</v>
      </c>
      <c r="J125" t="n">
        <v>0</v>
      </c>
      <c r="K125" t="n">
        <v>0</v>
      </c>
      <c r="L125" t="n">
        <v>1</v>
      </c>
      <c r="M125" t="n">
        <v>0</v>
      </c>
      <c r="N125" t="n">
        <v>0</v>
      </c>
      <c r="O125" t="n">
        <v>1</v>
      </c>
      <c r="P125" t="n">
        <v>1</v>
      </c>
      <c r="Q125" t="n">
        <v>2</v>
      </c>
      <c r="R125" s="2" t="inlineStr">
        <is>
          <t>Ask
Skogsknipprot</t>
        </is>
      </c>
      <c r="S125">
        <f>HYPERLINK("https://klasma.github.io/Logging_1214/artfynd/A 61064-2024 artfynd.xlsx", "A 61064-2024")</f>
        <v/>
      </c>
      <c r="T125">
        <f>HYPERLINK("https://klasma.github.io/Logging_1214/kartor/A 61064-2024 karta.png", "A 61064-2024")</f>
        <v/>
      </c>
      <c r="V125">
        <f>HYPERLINK("https://klasma.github.io/Logging_1214/klagomål/A 61064-2024 FSC-klagomål.docx", "A 61064-2024")</f>
        <v/>
      </c>
      <c r="W125">
        <f>HYPERLINK("https://klasma.github.io/Logging_1214/klagomålsmail/A 61064-2024 FSC-klagomål mail.docx", "A 61064-2024")</f>
        <v/>
      </c>
      <c r="X125">
        <f>HYPERLINK("https://klasma.github.io/Logging_1214/tillsyn/A 61064-2024 tillsynsbegäran.docx", "A 61064-2024")</f>
        <v/>
      </c>
      <c r="Y125">
        <f>HYPERLINK("https://klasma.github.io/Logging_1214/tillsynsmail/A 61064-2024 tillsynsbegäran mail.docx", "A 61064-2024")</f>
        <v/>
      </c>
    </row>
    <row r="126" ht="15" customHeight="1">
      <c r="A126" t="inlineStr">
        <is>
          <t>A 40166-2024</t>
        </is>
      </c>
      <c r="B126" s="1" t="n">
        <v>45554.54538194444</v>
      </c>
      <c r="C126" s="1" t="n">
        <v>45962</v>
      </c>
      <c r="D126" t="inlineStr">
        <is>
          <t>SKÅNE LÄN</t>
        </is>
      </c>
      <c r="E126" t="inlineStr">
        <is>
          <t>ÖSTRA GÖINGE</t>
        </is>
      </c>
      <c r="G126" t="n">
        <v>1.4</v>
      </c>
      <c r="H126" t="n">
        <v>2</v>
      </c>
      <c r="I126" t="n">
        <v>0</v>
      </c>
      <c r="J126" t="n">
        <v>1</v>
      </c>
      <c r="K126" t="n">
        <v>0</v>
      </c>
      <c r="L126" t="n">
        <v>0</v>
      </c>
      <c r="M126" t="n">
        <v>0</v>
      </c>
      <c r="N126" t="n">
        <v>0</v>
      </c>
      <c r="O126" t="n">
        <v>1</v>
      </c>
      <c r="P126" t="n">
        <v>0</v>
      </c>
      <c r="Q126" t="n">
        <v>2</v>
      </c>
      <c r="R126" s="2" t="inlineStr">
        <is>
          <t>Grönsångare
Skogsduva</t>
        </is>
      </c>
      <c r="S126">
        <f>HYPERLINK("https://klasma.github.io/Logging_1256/artfynd/A 40166-2024 artfynd.xlsx", "A 40166-2024")</f>
        <v/>
      </c>
      <c r="T126">
        <f>HYPERLINK("https://klasma.github.io/Logging_1256/kartor/A 40166-2024 karta.png", "A 40166-2024")</f>
        <v/>
      </c>
      <c r="V126">
        <f>HYPERLINK("https://klasma.github.io/Logging_1256/klagomål/A 40166-2024 FSC-klagomål.docx", "A 40166-2024")</f>
        <v/>
      </c>
      <c r="W126">
        <f>HYPERLINK("https://klasma.github.io/Logging_1256/klagomålsmail/A 40166-2024 FSC-klagomål mail.docx", "A 40166-2024")</f>
        <v/>
      </c>
      <c r="X126">
        <f>HYPERLINK("https://klasma.github.io/Logging_1256/tillsyn/A 40166-2024 tillsynsbegäran.docx", "A 40166-2024")</f>
        <v/>
      </c>
      <c r="Y126">
        <f>HYPERLINK("https://klasma.github.io/Logging_1256/tillsynsmail/A 40166-2024 tillsynsbegäran mail.docx", "A 40166-2024")</f>
        <v/>
      </c>
      <c r="Z126">
        <f>HYPERLINK("https://klasma.github.io/Logging_1256/fåglar/A 40166-2024 prioriterade fågelarter.docx", "A 40166-2024")</f>
        <v/>
      </c>
    </row>
    <row r="127" ht="15" customHeight="1">
      <c r="A127" t="inlineStr">
        <is>
          <t>A 2942-2024</t>
        </is>
      </c>
      <c r="B127" s="1" t="n">
        <v>45315</v>
      </c>
      <c r="C127" s="1" t="n">
        <v>45962</v>
      </c>
      <c r="D127" t="inlineStr">
        <is>
          <t>SKÅNE LÄN</t>
        </is>
      </c>
      <c r="E127" t="inlineStr">
        <is>
          <t>HÖÖR</t>
        </is>
      </c>
      <c r="G127" t="n">
        <v>11.2</v>
      </c>
      <c r="H127" t="n">
        <v>1</v>
      </c>
      <c r="I127" t="n">
        <v>1</v>
      </c>
      <c r="J127" t="n">
        <v>0</v>
      </c>
      <c r="K127" t="n">
        <v>0</v>
      </c>
      <c r="L127" t="n">
        <v>0</v>
      </c>
      <c r="M127" t="n">
        <v>0</v>
      </c>
      <c r="N127" t="n">
        <v>0</v>
      </c>
      <c r="O127" t="n">
        <v>0</v>
      </c>
      <c r="P127" t="n">
        <v>0</v>
      </c>
      <c r="Q127" t="n">
        <v>2</v>
      </c>
      <c r="R127" s="2" t="inlineStr">
        <is>
          <t>Skogsbräsma
Revlummer</t>
        </is>
      </c>
      <c r="S127">
        <f>HYPERLINK("https://klasma.github.io/Logging_1267/artfynd/A 2942-2024 artfynd.xlsx", "A 2942-2024")</f>
        <v/>
      </c>
      <c r="T127">
        <f>HYPERLINK("https://klasma.github.io/Logging_1267/kartor/A 2942-2024 karta.png", "A 2942-2024")</f>
        <v/>
      </c>
      <c r="V127">
        <f>HYPERLINK("https://klasma.github.io/Logging_1267/klagomål/A 2942-2024 FSC-klagomål.docx", "A 2942-2024")</f>
        <v/>
      </c>
      <c r="W127">
        <f>HYPERLINK("https://klasma.github.io/Logging_1267/klagomålsmail/A 2942-2024 FSC-klagomål mail.docx", "A 2942-2024")</f>
        <v/>
      </c>
      <c r="X127">
        <f>HYPERLINK("https://klasma.github.io/Logging_1267/tillsyn/A 2942-2024 tillsynsbegäran.docx", "A 2942-2024")</f>
        <v/>
      </c>
      <c r="Y127">
        <f>HYPERLINK("https://klasma.github.io/Logging_1267/tillsynsmail/A 2942-2024 tillsynsbegäran mail.docx", "A 2942-2024")</f>
        <v/>
      </c>
    </row>
    <row r="128" ht="15" customHeight="1">
      <c r="A128" t="inlineStr">
        <is>
          <t>A 20975-2024</t>
        </is>
      </c>
      <c r="B128" s="1" t="n">
        <v>45439</v>
      </c>
      <c r="C128" s="1" t="n">
        <v>45962</v>
      </c>
      <c r="D128" t="inlineStr">
        <is>
          <t>SKÅNE LÄN</t>
        </is>
      </c>
      <c r="E128" t="inlineStr">
        <is>
          <t>HÖÖR</t>
        </is>
      </c>
      <c r="G128" t="n">
        <v>2</v>
      </c>
      <c r="H128" t="n">
        <v>0</v>
      </c>
      <c r="I128" t="n">
        <v>2</v>
      </c>
      <c r="J128" t="n">
        <v>0</v>
      </c>
      <c r="K128" t="n">
        <v>0</v>
      </c>
      <c r="L128" t="n">
        <v>0</v>
      </c>
      <c r="M128" t="n">
        <v>0</v>
      </c>
      <c r="N128" t="n">
        <v>0</v>
      </c>
      <c r="O128" t="n">
        <v>0</v>
      </c>
      <c r="P128" t="n">
        <v>0</v>
      </c>
      <c r="Q128" t="n">
        <v>2</v>
      </c>
      <c r="R128" s="2" t="inlineStr">
        <is>
          <t>Dvärghäxört
Västlig hakmossa</t>
        </is>
      </c>
      <c r="S128">
        <f>HYPERLINK("https://klasma.github.io/Logging_1267/artfynd/A 20975-2024 artfynd.xlsx", "A 20975-2024")</f>
        <v/>
      </c>
      <c r="T128">
        <f>HYPERLINK("https://klasma.github.io/Logging_1267/kartor/A 20975-2024 karta.png", "A 20975-2024")</f>
        <v/>
      </c>
      <c r="V128">
        <f>HYPERLINK("https://klasma.github.io/Logging_1267/klagomål/A 20975-2024 FSC-klagomål.docx", "A 20975-2024")</f>
        <v/>
      </c>
      <c r="W128">
        <f>HYPERLINK("https://klasma.github.io/Logging_1267/klagomålsmail/A 20975-2024 FSC-klagomål mail.docx", "A 20975-2024")</f>
        <v/>
      </c>
      <c r="X128">
        <f>HYPERLINK("https://klasma.github.io/Logging_1267/tillsyn/A 20975-2024 tillsynsbegäran.docx", "A 20975-2024")</f>
        <v/>
      </c>
      <c r="Y128">
        <f>HYPERLINK("https://klasma.github.io/Logging_1267/tillsynsmail/A 20975-2024 tillsynsbegäran mail.docx", "A 20975-2024")</f>
        <v/>
      </c>
    </row>
    <row r="129" ht="15" customHeight="1">
      <c r="A129" t="inlineStr">
        <is>
          <t>A 26736-2023</t>
        </is>
      </c>
      <c r="B129" s="1" t="n">
        <v>45090</v>
      </c>
      <c r="C129" s="1" t="n">
        <v>45962</v>
      </c>
      <c r="D129" t="inlineStr">
        <is>
          <t>SKÅNE LÄN</t>
        </is>
      </c>
      <c r="E129" t="inlineStr">
        <is>
          <t>SJÖBO</t>
        </is>
      </c>
      <c r="G129" t="n">
        <v>8.300000000000001</v>
      </c>
      <c r="H129" t="n">
        <v>0</v>
      </c>
      <c r="I129" t="n">
        <v>0</v>
      </c>
      <c r="J129" t="n">
        <v>1</v>
      </c>
      <c r="K129" t="n">
        <v>1</v>
      </c>
      <c r="L129" t="n">
        <v>0</v>
      </c>
      <c r="M129" t="n">
        <v>0</v>
      </c>
      <c r="N129" t="n">
        <v>0</v>
      </c>
      <c r="O129" t="n">
        <v>2</v>
      </c>
      <c r="P129" t="n">
        <v>1</v>
      </c>
      <c r="Q129" t="n">
        <v>2</v>
      </c>
      <c r="R129" s="2" t="inlineStr">
        <is>
          <t>Fläcklungört
Månviol</t>
        </is>
      </c>
      <c r="S129">
        <f>HYPERLINK("https://klasma.github.io/Logging_1265/artfynd/A 26736-2023 artfynd.xlsx", "A 26736-2023")</f>
        <v/>
      </c>
      <c r="T129">
        <f>HYPERLINK("https://klasma.github.io/Logging_1265/kartor/A 26736-2023 karta.png", "A 26736-2023")</f>
        <v/>
      </c>
      <c r="V129">
        <f>HYPERLINK("https://klasma.github.io/Logging_1265/klagomål/A 26736-2023 FSC-klagomål.docx", "A 26736-2023")</f>
        <v/>
      </c>
      <c r="W129">
        <f>HYPERLINK("https://klasma.github.io/Logging_1265/klagomålsmail/A 26736-2023 FSC-klagomål mail.docx", "A 26736-2023")</f>
        <v/>
      </c>
      <c r="X129">
        <f>HYPERLINK("https://klasma.github.io/Logging_1265/tillsyn/A 26736-2023 tillsynsbegäran.docx", "A 26736-2023")</f>
        <v/>
      </c>
      <c r="Y129">
        <f>HYPERLINK("https://klasma.github.io/Logging_1265/tillsynsmail/A 26736-2023 tillsynsbegäran mail.docx", "A 26736-2023")</f>
        <v/>
      </c>
    </row>
    <row r="130" ht="15" customHeight="1">
      <c r="A130" t="inlineStr">
        <is>
          <t>A 30842-2022</t>
        </is>
      </c>
      <c r="B130" s="1" t="n">
        <v>44767</v>
      </c>
      <c r="C130" s="1" t="n">
        <v>45962</v>
      </c>
      <c r="D130" t="inlineStr">
        <is>
          <t>SKÅNE LÄN</t>
        </is>
      </c>
      <c r="E130" t="inlineStr">
        <is>
          <t>KRISTIANSTAD</t>
        </is>
      </c>
      <c r="G130" t="n">
        <v>2.6</v>
      </c>
      <c r="H130" t="n">
        <v>1</v>
      </c>
      <c r="I130" t="n">
        <v>0</v>
      </c>
      <c r="J130" t="n">
        <v>0</v>
      </c>
      <c r="K130" t="n">
        <v>1</v>
      </c>
      <c r="L130" t="n">
        <v>0</v>
      </c>
      <c r="M130" t="n">
        <v>0</v>
      </c>
      <c r="N130" t="n">
        <v>0</v>
      </c>
      <c r="O130" t="n">
        <v>1</v>
      </c>
      <c r="P130" t="n">
        <v>1</v>
      </c>
      <c r="Q130" t="n">
        <v>2</v>
      </c>
      <c r="R130" s="2" t="inlineStr">
        <is>
          <t>Småvänderot
Större vattensalamander</t>
        </is>
      </c>
      <c r="S130">
        <f>HYPERLINK("https://klasma.github.io/Logging_1290/artfynd/A 30842-2022 artfynd.xlsx", "A 30842-2022")</f>
        <v/>
      </c>
      <c r="T130">
        <f>HYPERLINK("https://klasma.github.io/Logging_1290/kartor/A 30842-2022 karta.png", "A 30842-2022")</f>
        <v/>
      </c>
      <c r="V130">
        <f>HYPERLINK("https://klasma.github.io/Logging_1290/klagomål/A 30842-2022 FSC-klagomål.docx", "A 30842-2022")</f>
        <v/>
      </c>
      <c r="W130">
        <f>HYPERLINK("https://klasma.github.io/Logging_1290/klagomålsmail/A 30842-2022 FSC-klagomål mail.docx", "A 30842-2022")</f>
        <v/>
      </c>
      <c r="X130">
        <f>HYPERLINK("https://klasma.github.io/Logging_1290/tillsyn/A 30842-2022 tillsynsbegäran.docx", "A 30842-2022")</f>
        <v/>
      </c>
      <c r="Y130">
        <f>HYPERLINK("https://klasma.github.io/Logging_1290/tillsynsmail/A 30842-2022 tillsynsbegäran mail.docx", "A 30842-2022")</f>
        <v/>
      </c>
    </row>
    <row r="131" ht="15" customHeight="1">
      <c r="A131" t="inlineStr">
        <is>
          <t>A 22177-2025</t>
        </is>
      </c>
      <c r="B131" s="1" t="n">
        <v>45785</v>
      </c>
      <c r="C131" s="1" t="n">
        <v>45962</v>
      </c>
      <c r="D131" t="inlineStr">
        <is>
          <t>SKÅNE LÄN</t>
        </is>
      </c>
      <c r="E131" t="inlineStr">
        <is>
          <t>ÖSTRA GÖINGE</t>
        </is>
      </c>
      <c r="G131" t="n">
        <v>3.6</v>
      </c>
      <c r="H131" t="n">
        <v>1</v>
      </c>
      <c r="I131" t="n">
        <v>0</v>
      </c>
      <c r="J131" t="n">
        <v>1</v>
      </c>
      <c r="K131" t="n">
        <v>0</v>
      </c>
      <c r="L131" t="n">
        <v>0</v>
      </c>
      <c r="M131" t="n">
        <v>0</v>
      </c>
      <c r="N131" t="n">
        <v>0</v>
      </c>
      <c r="O131" t="n">
        <v>1</v>
      </c>
      <c r="P131" t="n">
        <v>0</v>
      </c>
      <c r="Q131" t="n">
        <v>2</v>
      </c>
      <c r="R131" s="2" t="inlineStr">
        <is>
          <t>Svinrot
Grönvit nattviol</t>
        </is>
      </c>
      <c r="S131">
        <f>HYPERLINK("https://klasma.github.io/Logging_1256/artfynd/A 22177-2025 artfynd.xlsx", "A 22177-2025")</f>
        <v/>
      </c>
      <c r="T131">
        <f>HYPERLINK("https://klasma.github.io/Logging_1256/kartor/A 22177-2025 karta.png", "A 22177-2025")</f>
        <v/>
      </c>
      <c r="V131">
        <f>HYPERLINK("https://klasma.github.io/Logging_1256/klagomål/A 22177-2025 FSC-klagomål.docx", "A 22177-2025")</f>
        <v/>
      </c>
      <c r="W131">
        <f>HYPERLINK("https://klasma.github.io/Logging_1256/klagomålsmail/A 22177-2025 FSC-klagomål mail.docx", "A 22177-2025")</f>
        <v/>
      </c>
      <c r="X131">
        <f>HYPERLINK("https://klasma.github.io/Logging_1256/tillsyn/A 22177-2025 tillsynsbegäran.docx", "A 22177-2025")</f>
        <v/>
      </c>
      <c r="Y131">
        <f>HYPERLINK("https://klasma.github.io/Logging_1256/tillsynsmail/A 22177-2025 tillsynsbegäran mail.docx", "A 22177-2025")</f>
        <v/>
      </c>
    </row>
    <row r="132" ht="15" customHeight="1">
      <c r="A132" t="inlineStr">
        <is>
          <t>A 16122-2024</t>
        </is>
      </c>
      <c r="B132" s="1" t="n">
        <v>45406.50112268519</v>
      </c>
      <c r="C132" s="1" t="n">
        <v>45962</v>
      </c>
      <c r="D132" t="inlineStr">
        <is>
          <t>SKÅNE LÄN</t>
        </is>
      </c>
      <c r="E132" t="inlineStr">
        <is>
          <t>SVEDALA</t>
        </is>
      </c>
      <c r="G132" t="n">
        <v>15.2</v>
      </c>
      <c r="H132" t="n">
        <v>0</v>
      </c>
      <c r="I132" t="n">
        <v>1</v>
      </c>
      <c r="J132" t="n">
        <v>1</v>
      </c>
      <c r="K132" t="n">
        <v>0</v>
      </c>
      <c r="L132" t="n">
        <v>0</v>
      </c>
      <c r="M132" t="n">
        <v>0</v>
      </c>
      <c r="N132" t="n">
        <v>0</v>
      </c>
      <c r="O132" t="n">
        <v>1</v>
      </c>
      <c r="P132" t="n">
        <v>0</v>
      </c>
      <c r="Q132" t="n">
        <v>2</v>
      </c>
      <c r="R132" s="2" t="inlineStr">
        <is>
          <t>Oxtungssvamp
Myskmadra</t>
        </is>
      </c>
      <c r="S132">
        <f>HYPERLINK("https://klasma.github.io/Logging_1263/artfynd/A 16122-2024 artfynd.xlsx", "A 16122-2024")</f>
        <v/>
      </c>
      <c r="T132">
        <f>HYPERLINK("https://klasma.github.io/Logging_1263/kartor/A 16122-2024 karta.png", "A 16122-2024")</f>
        <v/>
      </c>
      <c r="V132">
        <f>HYPERLINK("https://klasma.github.io/Logging_1263/klagomål/A 16122-2024 FSC-klagomål.docx", "A 16122-2024")</f>
        <v/>
      </c>
      <c r="W132">
        <f>HYPERLINK("https://klasma.github.io/Logging_1263/klagomålsmail/A 16122-2024 FSC-klagomål mail.docx", "A 16122-2024")</f>
        <v/>
      </c>
      <c r="X132">
        <f>HYPERLINK("https://klasma.github.io/Logging_1263/tillsyn/A 16122-2024 tillsynsbegäran.docx", "A 16122-2024")</f>
        <v/>
      </c>
      <c r="Y132">
        <f>HYPERLINK("https://klasma.github.io/Logging_1263/tillsynsmail/A 16122-2024 tillsynsbegäran mail.docx", "A 16122-2024")</f>
        <v/>
      </c>
    </row>
    <row r="133" ht="15" customHeight="1">
      <c r="A133" t="inlineStr">
        <is>
          <t>A 2194-2025</t>
        </is>
      </c>
      <c r="B133" s="1" t="n">
        <v>45673.380625</v>
      </c>
      <c r="C133" s="1" t="n">
        <v>45962</v>
      </c>
      <c r="D133" t="inlineStr">
        <is>
          <t>SKÅNE LÄN</t>
        </is>
      </c>
      <c r="E133" t="inlineStr">
        <is>
          <t>HÄSSLEHOLM</t>
        </is>
      </c>
      <c r="G133" t="n">
        <v>3.4</v>
      </c>
      <c r="H133" t="n">
        <v>1</v>
      </c>
      <c r="I133" t="n">
        <v>0</v>
      </c>
      <c r="J133" t="n">
        <v>1</v>
      </c>
      <c r="K133" t="n">
        <v>0</v>
      </c>
      <c r="L133" t="n">
        <v>1</v>
      </c>
      <c r="M133" t="n">
        <v>0</v>
      </c>
      <c r="N133" t="n">
        <v>0</v>
      </c>
      <c r="O133" t="n">
        <v>2</v>
      </c>
      <c r="P133" t="n">
        <v>1</v>
      </c>
      <c r="Q133" t="n">
        <v>2</v>
      </c>
      <c r="R133" s="2" t="inlineStr">
        <is>
          <t>Flodpärlmussla
Utter</t>
        </is>
      </c>
      <c r="S133">
        <f>HYPERLINK("https://klasma.github.io/Logging_1293/artfynd/A 2194-2025 artfynd.xlsx", "A 2194-2025")</f>
        <v/>
      </c>
      <c r="T133">
        <f>HYPERLINK("https://klasma.github.io/Logging_1293/kartor/A 2194-2025 karta.png", "A 2194-2025")</f>
        <v/>
      </c>
      <c r="V133">
        <f>HYPERLINK("https://klasma.github.io/Logging_1293/klagomål/A 2194-2025 FSC-klagomål.docx", "A 2194-2025")</f>
        <v/>
      </c>
      <c r="W133">
        <f>HYPERLINK("https://klasma.github.io/Logging_1293/klagomålsmail/A 2194-2025 FSC-klagomål mail.docx", "A 2194-2025")</f>
        <v/>
      </c>
      <c r="X133">
        <f>HYPERLINK("https://klasma.github.io/Logging_1293/tillsyn/A 2194-2025 tillsynsbegäran.docx", "A 2194-2025")</f>
        <v/>
      </c>
      <c r="Y133">
        <f>HYPERLINK("https://klasma.github.io/Logging_1293/tillsynsmail/A 2194-2025 tillsynsbegäran mail.docx", "A 2194-2025")</f>
        <v/>
      </c>
    </row>
    <row r="134" ht="15" customHeight="1">
      <c r="A134" t="inlineStr">
        <is>
          <t>A 66175-2020</t>
        </is>
      </c>
      <c r="B134" s="1" t="n">
        <v>44174</v>
      </c>
      <c r="C134" s="1" t="n">
        <v>45962</v>
      </c>
      <c r="D134" t="inlineStr">
        <is>
          <t>SKÅNE LÄN</t>
        </is>
      </c>
      <c r="E134" t="inlineStr">
        <is>
          <t>SJÖBO</t>
        </is>
      </c>
      <c r="G134" t="n">
        <v>4.5</v>
      </c>
      <c r="H134" t="n">
        <v>0</v>
      </c>
      <c r="I134" t="n">
        <v>2</v>
      </c>
      <c r="J134" t="n">
        <v>0</v>
      </c>
      <c r="K134" t="n">
        <v>0</v>
      </c>
      <c r="L134" t="n">
        <v>0</v>
      </c>
      <c r="M134" t="n">
        <v>0</v>
      </c>
      <c r="N134" t="n">
        <v>0</v>
      </c>
      <c r="O134" t="n">
        <v>0</v>
      </c>
      <c r="P134" t="n">
        <v>0</v>
      </c>
      <c r="Q134" t="n">
        <v>2</v>
      </c>
      <c r="R134" s="2" t="inlineStr">
        <is>
          <t>Myskmadra
Strävlosta</t>
        </is>
      </c>
      <c r="S134">
        <f>HYPERLINK("https://klasma.github.io/Logging_1265/artfynd/A 66175-2020 artfynd.xlsx", "A 66175-2020")</f>
        <v/>
      </c>
      <c r="T134">
        <f>HYPERLINK("https://klasma.github.io/Logging_1265/kartor/A 66175-2020 karta.png", "A 66175-2020")</f>
        <v/>
      </c>
      <c r="V134">
        <f>HYPERLINK("https://klasma.github.io/Logging_1265/klagomål/A 66175-2020 FSC-klagomål.docx", "A 66175-2020")</f>
        <v/>
      </c>
      <c r="W134">
        <f>HYPERLINK("https://klasma.github.io/Logging_1265/klagomålsmail/A 66175-2020 FSC-klagomål mail.docx", "A 66175-2020")</f>
        <v/>
      </c>
      <c r="X134">
        <f>HYPERLINK("https://klasma.github.io/Logging_1265/tillsyn/A 66175-2020 tillsynsbegäran.docx", "A 66175-2020")</f>
        <v/>
      </c>
      <c r="Y134">
        <f>HYPERLINK("https://klasma.github.io/Logging_1265/tillsynsmail/A 66175-2020 tillsynsbegäran mail.docx", "A 66175-2020")</f>
        <v/>
      </c>
    </row>
    <row r="135" ht="15" customHeight="1">
      <c r="A135" t="inlineStr">
        <is>
          <t>A 20702-2023</t>
        </is>
      </c>
      <c r="B135" s="1" t="n">
        <v>45058</v>
      </c>
      <c r="C135" s="1" t="n">
        <v>45962</v>
      </c>
      <c r="D135" t="inlineStr">
        <is>
          <t>SKÅNE LÄN</t>
        </is>
      </c>
      <c r="E135" t="inlineStr">
        <is>
          <t>KLIPPAN</t>
        </is>
      </c>
      <c r="G135" t="n">
        <v>5.9</v>
      </c>
      <c r="H135" t="n">
        <v>1</v>
      </c>
      <c r="I135" t="n">
        <v>0</v>
      </c>
      <c r="J135" t="n">
        <v>1</v>
      </c>
      <c r="K135" t="n">
        <v>0</v>
      </c>
      <c r="L135" t="n">
        <v>0</v>
      </c>
      <c r="M135" t="n">
        <v>0</v>
      </c>
      <c r="N135" t="n">
        <v>0</v>
      </c>
      <c r="O135" t="n">
        <v>1</v>
      </c>
      <c r="P135" t="n">
        <v>0</v>
      </c>
      <c r="Q135" t="n">
        <v>2</v>
      </c>
      <c r="R135" s="2" t="inlineStr">
        <is>
          <t>Svinrot
Grönvit nattviol</t>
        </is>
      </c>
      <c r="S135">
        <f>HYPERLINK("https://klasma.github.io/Logging_1276/artfynd/A 20702-2023 artfynd.xlsx", "A 20702-2023")</f>
        <v/>
      </c>
      <c r="T135">
        <f>HYPERLINK("https://klasma.github.io/Logging_1276/kartor/A 20702-2023 karta.png", "A 20702-2023")</f>
        <v/>
      </c>
      <c r="V135">
        <f>HYPERLINK("https://klasma.github.io/Logging_1276/klagomål/A 20702-2023 FSC-klagomål.docx", "A 20702-2023")</f>
        <v/>
      </c>
      <c r="W135">
        <f>HYPERLINK("https://klasma.github.io/Logging_1276/klagomålsmail/A 20702-2023 FSC-klagomål mail.docx", "A 20702-2023")</f>
        <v/>
      </c>
      <c r="X135">
        <f>HYPERLINK("https://klasma.github.io/Logging_1276/tillsyn/A 20702-2023 tillsynsbegäran.docx", "A 20702-2023")</f>
        <v/>
      </c>
      <c r="Y135">
        <f>HYPERLINK("https://klasma.github.io/Logging_1276/tillsynsmail/A 20702-2023 tillsynsbegäran mail.docx", "A 20702-2023")</f>
        <v/>
      </c>
    </row>
    <row r="136" ht="15" customHeight="1">
      <c r="A136" t="inlineStr">
        <is>
          <t>A 63560-2023</t>
        </is>
      </c>
      <c r="B136" s="1" t="n">
        <v>45274</v>
      </c>
      <c r="C136" s="1" t="n">
        <v>45962</v>
      </c>
      <c r="D136" t="inlineStr">
        <is>
          <t>SKÅNE LÄN</t>
        </is>
      </c>
      <c r="E136" t="inlineStr">
        <is>
          <t>ÖSTRA GÖINGE</t>
        </is>
      </c>
      <c r="G136" t="n">
        <v>2.9</v>
      </c>
      <c r="H136" t="n">
        <v>2</v>
      </c>
      <c r="I136" t="n">
        <v>0</v>
      </c>
      <c r="J136" t="n">
        <v>0</v>
      </c>
      <c r="K136" t="n">
        <v>0</v>
      </c>
      <c r="L136" t="n">
        <v>0</v>
      </c>
      <c r="M136" t="n">
        <v>0</v>
      </c>
      <c r="N136" t="n">
        <v>0</v>
      </c>
      <c r="O136" t="n">
        <v>0</v>
      </c>
      <c r="P136" t="n">
        <v>0</v>
      </c>
      <c r="Q136" t="n">
        <v>2</v>
      </c>
      <c r="R136" s="2" t="inlineStr">
        <is>
          <t>Större vattensalamander
Mindre vattensalamander</t>
        </is>
      </c>
      <c r="S136">
        <f>HYPERLINK("https://klasma.github.io/Logging_1256/artfynd/A 63560-2023 artfynd.xlsx", "A 63560-2023")</f>
        <v/>
      </c>
      <c r="T136">
        <f>HYPERLINK("https://klasma.github.io/Logging_1256/kartor/A 63560-2023 karta.png", "A 63560-2023")</f>
        <v/>
      </c>
      <c r="V136">
        <f>HYPERLINK("https://klasma.github.io/Logging_1256/klagomål/A 63560-2023 FSC-klagomål.docx", "A 63560-2023")</f>
        <v/>
      </c>
      <c r="W136">
        <f>HYPERLINK("https://klasma.github.io/Logging_1256/klagomålsmail/A 63560-2023 FSC-klagomål mail.docx", "A 63560-2023")</f>
        <v/>
      </c>
      <c r="X136">
        <f>HYPERLINK("https://klasma.github.io/Logging_1256/tillsyn/A 63560-2023 tillsynsbegäran.docx", "A 63560-2023")</f>
        <v/>
      </c>
      <c r="Y136">
        <f>HYPERLINK("https://klasma.github.io/Logging_1256/tillsynsmail/A 63560-2023 tillsynsbegäran mail.docx", "A 63560-2023")</f>
        <v/>
      </c>
    </row>
    <row r="137" ht="15" customHeight="1">
      <c r="A137" t="inlineStr">
        <is>
          <t>A 26855-2022</t>
        </is>
      </c>
      <c r="B137" s="1" t="n">
        <v>44740</v>
      </c>
      <c r="C137" s="1" t="n">
        <v>45962</v>
      </c>
      <c r="D137" t="inlineStr">
        <is>
          <t>SKÅNE LÄN</t>
        </is>
      </c>
      <c r="E137" t="inlineStr">
        <is>
          <t>SVALÖV</t>
        </is>
      </c>
      <c r="G137" t="n">
        <v>5.2</v>
      </c>
      <c r="H137" t="n">
        <v>1</v>
      </c>
      <c r="I137" t="n">
        <v>1</v>
      </c>
      <c r="J137" t="n">
        <v>0</v>
      </c>
      <c r="K137" t="n">
        <v>0</v>
      </c>
      <c r="L137" t="n">
        <v>0</v>
      </c>
      <c r="M137" t="n">
        <v>0</v>
      </c>
      <c r="N137" t="n">
        <v>0</v>
      </c>
      <c r="O137" t="n">
        <v>0</v>
      </c>
      <c r="P137" t="n">
        <v>0</v>
      </c>
      <c r="Q137" t="n">
        <v>2</v>
      </c>
      <c r="R137" s="2" t="inlineStr">
        <is>
          <t>Skogsbräsma
Mattlummer</t>
        </is>
      </c>
      <c r="S137">
        <f>HYPERLINK("https://klasma.github.io/Logging_1214/artfynd/A 26855-2022 artfynd.xlsx", "A 26855-2022")</f>
        <v/>
      </c>
      <c r="T137">
        <f>HYPERLINK("https://klasma.github.io/Logging_1214/kartor/A 26855-2022 karta.png", "A 26855-2022")</f>
        <v/>
      </c>
      <c r="V137">
        <f>HYPERLINK("https://klasma.github.io/Logging_1214/klagomål/A 26855-2022 FSC-klagomål.docx", "A 26855-2022")</f>
        <v/>
      </c>
      <c r="W137">
        <f>HYPERLINK("https://klasma.github.io/Logging_1214/klagomålsmail/A 26855-2022 FSC-klagomål mail.docx", "A 26855-2022")</f>
        <v/>
      </c>
      <c r="X137">
        <f>HYPERLINK("https://klasma.github.io/Logging_1214/tillsyn/A 26855-2022 tillsynsbegäran.docx", "A 26855-2022")</f>
        <v/>
      </c>
      <c r="Y137">
        <f>HYPERLINK("https://klasma.github.io/Logging_1214/tillsynsmail/A 26855-2022 tillsynsbegäran mail.docx", "A 26855-2022")</f>
        <v/>
      </c>
    </row>
    <row r="138" ht="15" customHeight="1">
      <c r="A138" t="inlineStr">
        <is>
          <t>A 52010-2021</t>
        </is>
      </c>
      <c r="B138" s="1" t="n">
        <v>44463</v>
      </c>
      <c r="C138" s="1" t="n">
        <v>45962</v>
      </c>
      <c r="D138" t="inlineStr">
        <is>
          <t>SKÅNE LÄN</t>
        </is>
      </c>
      <c r="E138" t="inlineStr">
        <is>
          <t>KRISTIANSTAD</t>
        </is>
      </c>
      <c r="G138" t="n">
        <v>2.9</v>
      </c>
      <c r="H138" t="n">
        <v>2</v>
      </c>
      <c r="I138" t="n">
        <v>0</v>
      </c>
      <c r="J138" t="n">
        <v>1</v>
      </c>
      <c r="K138" t="n">
        <v>0</v>
      </c>
      <c r="L138" t="n">
        <v>0</v>
      </c>
      <c r="M138" t="n">
        <v>0</v>
      </c>
      <c r="N138" t="n">
        <v>0</v>
      </c>
      <c r="O138" t="n">
        <v>1</v>
      </c>
      <c r="P138" t="n">
        <v>0</v>
      </c>
      <c r="Q138" t="n">
        <v>2</v>
      </c>
      <c r="R138" s="2" t="inlineStr">
        <is>
          <t>Grönsångare
Gullviva</t>
        </is>
      </c>
      <c r="S138">
        <f>HYPERLINK("https://klasma.github.io/Logging_1290/artfynd/A 52010-2021 artfynd.xlsx", "A 52010-2021")</f>
        <v/>
      </c>
      <c r="T138">
        <f>HYPERLINK("https://klasma.github.io/Logging_1290/kartor/A 52010-2021 karta.png", "A 52010-2021")</f>
        <v/>
      </c>
      <c r="V138">
        <f>HYPERLINK("https://klasma.github.io/Logging_1290/klagomål/A 52010-2021 FSC-klagomål.docx", "A 52010-2021")</f>
        <v/>
      </c>
      <c r="W138">
        <f>HYPERLINK("https://klasma.github.io/Logging_1290/klagomålsmail/A 52010-2021 FSC-klagomål mail.docx", "A 52010-2021")</f>
        <v/>
      </c>
      <c r="X138">
        <f>HYPERLINK("https://klasma.github.io/Logging_1290/tillsyn/A 52010-2021 tillsynsbegäran.docx", "A 52010-2021")</f>
        <v/>
      </c>
      <c r="Y138">
        <f>HYPERLINK("https://klasma.github.io/Logging_1290/tillsynsmail/A 52010-2021 tillsynsbegäran mail.docx", "A 52010-2021")</f>
        <v/>
      </c>
      <c r="Z138">
        <f>HYPERLINK("https://klasma.github.io/Logging_1290/fåglar/A 52010-2021 prioriterade fågelarter.docx", "A 52010-2021")</f>
        <v/>
      </c>
    </row>
    <row r="139" ht="15" customHeight="1">
      <c r="A139" t="inlineStr">
        <is>
          <t>A 35524-2025</t>
        </is>
      </c>
      <c r="B139" s="1" t="n">
        <v>45856</v>
      </c>
      <c r="C139" s="1" t="n">
        <v>45962</v>
      </c>
      <c r="D139" t="inlineStr">
        <is>
          <t>SKÅNE LÄN</t>
        </is>
      </c>
      <c r="E139" t="inlineStr">
        <is>
          <t>ÖSTRA GÖINGE</t>
        </is>
      </c>
      <c r="G139" t="n">
        <v>4.2</v>
      </c>
      <c r="H139" t="n">
        <v>0</v>
      </c>
      <c r="I139" t="n">
        <v>2</v>
      </c>
      <c r="J139" t="n">
        <v>0</v>
      </c>
      <c r="K139" t="n">
        <v>0</v>
      </c>
      <c r="L139" t="n">
        <v>0</v>
      </c>
      <c r="M139" t="n">
        <v>0</v>
      </c>
      <c r="N139" t="n">
        <v>0</v>
      </c>
      <c r="O139" t="n">
        <v>0</v>
      </c>
      <c r="P139" t="n">
        <v>0</v>
      </c>
      <c r="Q139" t="n">
        <v>2</v>
      </c>
      <c r="R139" s="2" t="inlineStr">
        <is>
          <t>Fällmossa
Guldlockmossa</t>
        </is>
      </c>
      <c r="S139">
        <f>HYPERLINK("https://klasma.github.io/Logging_1256/artfynd/A 35524-2025 artfynd.xlsx", "A 35524-2025")</f>
        <v/>
      </c>
      <c r="T139">
        <f>HYPERLINK("https://klasma.github.io/Logging_1256/kartor/A 35524-2025 karta.png", "A 35524-2025")</f>
        <v/>
      </c>
      <c r="V139">
        <f>HYPERLINK("https://klasma.github.io/Logging_1256/klagomål/A 35524-2025 FSC-klagomål.docx", "A 35524-2025")</f>
        <v/>
      </c>
      <c r="W139">
        <f>HYPERLINK("https://klasma.github.io/Logging_1256/klagomålsmail/A 35524-2025 FSC-klagomål mail.docx", "A 35524-2025")</f>
        <v/>
      </c>
      <c r="X139">
        <f>HYPERLINK("https://klasma.github.io/Logging_1256/tillsyn/A 35524-2025 tillsynsbegäran.docx", "A 35524-2025")</f>
        <v/>
      </c>
      <c r="Y139">
        <f>HYPERLINK("https://klasma.github.io/Logging_1256/tillsynsmail/A 35524-2025 tillsynsbegäran mail.docx", "A 35524-2025")</f>
        <v/>
      </c>
    </row>
    <row r="140" ht="15" customHeight="1">
      <c r="A140" t="inlineStr">
        <is>
          <t>A 28247-2025</t>
        </is>
      </c>
      <c r="B140" s="1" t="n">
        <v>45818</v>
      </c>
      <c r="C140" s="1" t="n">
        <v>45962</v>
      </c>
      <c r="D140" t="inlineStr">
        <is>
          <t>SKÅNE LÄN</t>
        </is>
      </c>
      <c r="E140" t="inlineStr">
        <is>
          <t>SVEDALA</t>
        </is>
      </c>
      <c r="G140" t="n">
        <v>6.2</v>
      </c>
      <c r="H140" t="n">
        <v>1</v>
      </c>
      <c r="I140" t="n">
        <v>1</v>
      </c>
      <c r="J140" t="n">
        <v>1</v>
      </c>
      <c r="K140" t="n">
        <v>0</v>
      </c>
      <c r="L140" t="n">
        <v>0</v>
      </c>
      <c r="M140" t="n">
        <v>0</v>
      </c>
      <c r="N140" t="n">
        <v>0</v>
      </c>
      <c r="O140" t="n">
        <v>1</v>
      </c>
      <c r="P140" t="n">
        <v>0</v>
      </c>
      <c r="Q140" t="n">
        <v>2</v>
      </c>
      <c r="R140" s="2" t="inlineStr">
        <is>
          <t>Skugglosta
Nästrot</t>
        </is>
      </c>
      <c r="S140">
        <f>HYPERLINK("https://klasma.github.io/Logging_1263/artfynd/A 28247-2025 artfynd.xlsx", "A 28247-2025")</f>
        <v/>
      </c>
      <c r="T140">
        <f>HYPERLINK("https://klasma.github.io/Logging_1263/kartor/A 28247-2025 karta.png", "A 28247-2025")</f>
        <v/>
      </c>
      <c r="V140">
        <f>HYPERLINK("https://klasma.github.io/Logging_1263/klagomål/A 28247-2025 FSC-klagomål.docx", "A 28247-2025")</f>
        <v/>
      </c>
      <c r="W140">
        <f>HYPERLINK("https://klasma.github.io/Logging_1263/klagomålsmail/A 28247-2025 FSC-klagomål mail.docx", "A 28247-2025")</f>
        <v/>
      </c>
      <c r="X140">
        <f>HYPERLINK("https://klasma.github.io/Logging_1263/tillsyn/A 28247-2025 tillsynsbegäran.docx", "A 28247-2025")</f>
        <v/>
      </c>
      <c r="Y140">
        <f>HYPERLINK("https://klasma.github.io/Logging_1263/tillsynsmail/A 28247-2025 tillsynsbegäran mail.docx", "A 28247-2025")</f>
        <v/>
      </c>
    </row>
    <row r="141" ht="15" customHeight="1">
      <c r="A141" t="inlineStr">
        <is>
          <t>A 20987-2024</t>
        </is>
      </c>
      <c r="B141" s="1" t="n">
        <v>45439</v>
      </c>
      <c r="C141" s="1" t="n">
        <v>45962</v>
      </c>
      <c r="D141" t="inlineStr">
        <is>
          <t>SKÅNE LÄN</t>
        </is>
      </c>
      <c r="E141" t="inlineStr">
        <is>
          <t>HÖÖR</t>
        </is>
      </c>
      <c r="G141" t="n">
        <v>5</v>
      </c>
      <c r="H141" t="n">
        <v>1</v>
      </c>
      <c r="I141" t="n">
        <v>1</v>
      </c>
      <c r="J141" t="n">
        <v>1</v>
      </c>
      <c r="K141" t="n">
        <v>0</v>
      </c>
      <c r="L141" t="n">
        <v>0</v>
      </c>
      <c r="M141" t="n">
        <v>0</v>
      </c>
      <c r="N141" t="n">
        <v>0</v>
      </c>
      <c r="O141" t="n">
        <v>1</v>
      </c>
      <c r="P141" t="n">
        <v>0</v>
      </c>
      <c r="Q141" t="n">
        <v>2</v>
      </c>
      <c r="R141" s="2" t="inlineStr">
        <is>
          <t>Spillkråka
Västlig hakmossa</t>
        </is>
      </c>
      <c r="S141">
        <f>HYPERLINK("https://klasma.github.io/Logging_1267/artfynd/A 20987-2024 artfynd.xlsx", "A 20987-2024")</f>
        <v/>
      </c>
      <c r="T141">
        <f>HYPERLINK("https://klasma.github.io/Logging_1267/kartor/A 20987-2024 karta.png", "A 20987-2024")</f>
        <v/>
      </c>
      <c r="V141">
        <f>HYPERLINK("https://klasma.github.io/Logging_1267/klagomål/A 20987-2024 FSC-klagomål.docx", "A 20987-2024")</f>
        <v/>
      </c>
      <c r="W141">
        <f>HYPERLINK("https://klasma.github.io/Logging_1267/klagomålsmail/A 20987-2024 FSC-klagomål mail.docx", "A 20987-2024")</f>
        <v/>
      </c>
      <c r="X141">
        <f>HYPERLINK("https://klasma.github.io/Logging_1267/tillsyn/A 20987-2024 tillsynsbegäran.docx", "A 20987-2024")</f>
        <v/>
      </c>
      <c r="Y141">
        <f>HYPERLINK("https://klasma.github.io/Logging_1267/tillsynsmail/A 20987-2024 tillsynsbegäran mail.docx", "A 20987-2024")</f>
        <v/>
      </c>
      <c r="Z141">
        <f>HYPERLINK("https://klasma.github.io/Logging_1267/fåglar/A 20987-2024 prioriterade fågelarter.docx", "A 20987-2024")</f>
        <v/>
      </c>
    </row>
    <row r="142" ht="15" customHeight="1">
      <c r="A142" t="inlineStr">
        <is>
          <t>A 28736-2025</t>
        </is>
      </c>
      <c r="B142" s="1" t="n">
        <v>45820.3816087963</v>
      </c>
      <c r="C142" s="1" t="n">
        <v>45962</v>
      </c>
      <c r="D142" t="inlineStr">
        <is>
          <t>SKÅNE LÄN</t>
        </is>
      </c>
      <c r="E142" t="inlineStr">
        <is>
          <t>HÄSSLEHOLM</t>
        </is>
      </c>
      <c r="G142" t="n">
        <v>3.9</v>
      </c>
      <c r="H142" t="n">
        <v>1</v>
      </c>
      <c r="I142" t="n">
        <v>1</v>
      </c>
      <c r="J142" t="n">
        <v>0</v>
      </c>
      <c r="K142" t="n">
        <v>0</v>
      </c>
      <c r="L142" t="n">
        <v>0</v>
      </c>
      <c r="M142" t="n">
        <v>0</v>
      </c>
      <c r="N142" t="n">
        <v>0</v>
      </c>
      <c r="O142" t="n">
        <v>0</v>
      </c>
      <c r="P142" t="n">
        <v>0</v>
      </c>
      <c r="Q142" t="n">
        <v>2</v>
      </c>
      <c r="R142" s="2" t="inlineStr">
        <is>
          <t>Blomkålssvamp
Kungsfågel</t>
        </is>
      </c>
      <c r="S142">
        <f>HYPERLINK("https://klasma.github.io/Logging_1293/artfynd/A 28736-2025 artfynd.xlsx", "A 28736-2025")</f>
        <v/>
      </c>
      <c r="T142">
        <f>HYPERLINK("https://klasma.github.io/Logging_1293/kartor/A 28736-2025 karta.png", "A 28736-2025")</f>
        <v/>
      </c>
      <c r="V142">
        <f>HYPERLINK("https://klasma.github.io/Logging_1293/klagomål/A 28736-2025 FSC-klagomål.docx", "A 28736-2025")</f>
        <v/>
      </c>
      <c r="W142">
        <f>HYPERLINK("https://klasma.github.io/Logging_1293/klagomålsmail/A 28736-2025 FSC-klagomål mail.docx", "A 28736-2025")</f>
        <v/>
      </c>
      <c r="X142">
        <f>HYPERLINK("https://klasma.github.io/Logging_1293/tillsyn/A 28736-2025 tillsynsbegäran.docx", "A 28736-2025")</f>
        <v/>
      </c>
      <c r="Y142">
        <f>HYPERLINK("https://klasma.github.io/Logging_1293/tillsynsmail/A 28736-2025 tillsynsbegäran mail.docx", "A 28736-2025")</f>
        <v/>
      </c>
      <c r="Z142">
        <f>HYPERLINK("https://klasma.github.io/Logging_1293/fåglar/A 28736-2025 prioriterade fågelarter.docx", "A 28736-2025")</f>
        <v/>
      </c>
    </row>
    <row r="143" ht="15" customHeight="1">
      <c r="A143" t="inlineStr">
        <is>
          <t>A 11673-2022</t>
        </is>
      </c>
      <c r="B143" s="1" t="n">
        <v>44633</v>
      </c>
      <c r="C143" s="1" t="n">
        <v>45962</v>
      </c>
      <c r="D143" t="inlineStr">
        <is>
          <t>SKÅNE LÄN</t>
        </is>
      </c>
      <c r="E143" t="inlineStr">
        <is>
          <t>KLIPPAN</t>
        </is>
      </c>
      <c r="G143" t="n">
        <v>1.8</v>
      </c>
      <c r="H143" t="n">
        <v>2</v>
      </c>
      <c r="I143" t="n">
        <v>0</v>
      </c>
      <c r="J143" t="n">
        <v>1</v>
      </c>
      <c r="K143" t="n">
        <v>0</v>
      </c>
      <c r="L143" t="n">
        <v>0</v>
      </c>
      <c r="M143" t="n">
        <v>0</v>
      </c>
      <c r="N143" t="n">
        <v>0</v>
      </c>
      <c r="O143" t="n">
        <v>1</v>
      </c>
      <c r="P143" t="n">
        <v>0</v>
      </c>
      <c r="Q143" t="n">
        <v>2</v>
      </c>
      <c r="R143" s="2" t="inlineStr">
        <is>
          <t>Talltita
Vanlig groda</t>
        </is>
      </c>
      <c r="S143">
        <f>HYPERLINK("https://klasma.github.io/Logging_1276/artfynd/A 11673-2022 artfynd.xlsx", "A 11673-2022")</f>
        <v/>
      </c>
      <c r="T143">
        <f>HYPERLINK("https://klasma.github.io/Logging_1276/kartor/A 11673-2022 karta.png", "A 11673-2022")</f>
        <v/>
      </c>
      <c r="V143">
        <f>HYPERLINK("https://klasma.github.io/Logging_1276/klagomål/A 11673-2022 FSC-klagomål.docx", "A 11673-2022")</f>
        <v/>
      </c>
      <c r="W143">
        <f>HYPERLINK("https://klasma.github.io/Logging_1276/klagomålsmail/A 11673-2022 FSC-klagomål mail.docx", "A 11673-2022")</f>
        <v/>
      </c>
      <c r="X143">
        <f>HYPERLINK("https://klasma.github.io/Logging_1276/tillsyn/A 11673-2022 tillsynsbegäran.docx", "A 11673-2022")</f>
        <v/>
      </c>
      <c r="Y143">
        <f>HYPERLINK("https://klasma.github.io/Logging_1276/tillsynsmail/A 11673-2022 tillsynsbegäran mail.docx", "A 11673-2022")</f>
        <v/>
      </c>
      <c r="Z143">
        <f>HYPERLINK("https://klasma.github.io/Logging_1276/fåglar/A 11673-2022 prioriterade fågelarter.docx", "A 11673-2022")</f>
        <v/>
      </c>
    </row>
    <row r="144" ht="15" customHeight="1">
      <c r="A144" t="inlineStr">
        <is>
          <t>A 6314-2023</t>
        </is>
      </c>
      <c r="B144" s="1" t="n">
        <v>44965</v>
      </c>
      <c r="C144" s="1" t="n">
        <v>45962</v>
      </c>
      <c r="D144" t="inlineStr">
        <is>
          <t>SKÅNE LÄN</t>
        </is>
      </c>
      <c r="E144" t="inlineStr">
        <is>
          <t>ÖSTRA GÖINGE</t>
        </is>
      </c>
      <c r="G144" t="n">
        <v>2.1</v>
      </c>
      <c r="H144" t="n">
        <v>2</v>
      </c>
      <c r="I144" t="n">
        <v>0</v>
      </c>
      <c r="J144" t="n">
        <v>1</v>
      </c>
      <c r="K144" t="n">
        <v>0</v>
      </c>
      <c r="L144" t="n">
        <v>0</v>
      </c>
      <c r="M144" t="n">
        <v>0</v>
      </c>
      <c r="N144" t="n">
        <v>0</v>
      </c>
      <c r="O144" t="n">
        <v>1</v>
      </c>
      <c r="P144" t="n">
        <v>0</v>
      </c>
      <c r="Q144" t="n">
        <v>2</v>
      </c>
      <c r="R144" s="2" t="inlineStr">
        <is>
          <t>Svartvit flugsnappare
Skogsduva</t>
        </is>
      </c>
      <c r="S144">
        <f>HYPERLINK("https://klasma.github.io/Logging_1256/artfynd/A 6314-2023 artfynd.xlsx", "A 6314-2023")</f>
        <v/>
      </c>
      <c r="T144">
        <f>HYPERLINK("https://klasma.github.io/Logging_1256/kartor/A 6314-2023 karta.png", "A 6314-2023")</f>
        <v/>
      </c>
      <c r="V144">
        <f>HYPERLINK("https://klasma.github.io/Logging_1256/klagomål/A 6314-2023 FSC-klagomål.docx", "A 6314-2023")</f>
        <v/>
      </c>
      <c r="W144">
        <f>HYPERLINK("https://klasma.github.io/Logging_1256/klagomålsmail/A 6314-2023 FSC-klagomål mail.docx", "A 6314-2023")</f>
        <v/>
      </c>
      <c r="X144">
        <f>HYPERLINK("https://klasma.github.io/Logging_1256/tillsyn/A 6314-2023 tillsynsbegäran.docx", "A 6314-2023")</f>
        <v/>
      </c>
      <c r="Y144">
        <f>HYPERLINK("https://klasma.github.io/Logging_1256/tillsynsmail/A 6314-2023 tillsynsbegäran mail.docx", "A 6314-2023")</f>
        <v/>
      </c>
      <c r="Z144">
        <f>HYPERLINK("https://klasma.github.io/Logging_1256/fåglar/A 6314-2023 prioriterade fågelarter.docx", "A 6314-2023")</f>
        <v/>
      </c>
    </row>
    <row r="145" ht="15" customHeight="1">
      <c r="A145" t="inlineStr">
        <is>
          <t>A 31632-2025</t>
        </is>
      </c>
      <c r="B145" s="1" t="n">
        <v>45834.33671296296</v>
      </c>
      <c r="C145" s="1" t="n">
        <v>45962</v>
      </c>
      <c r="D145" t="inlineStr">
        <is>
          <t>SKÅNE LÄN</t>
        </is>
      </c>
      <c r="E145" t="inlineStr">
        <is>
          <t>OSBY</t>
        </is>
      </c>
      <c r="G145" t="n">
        <v>3.2</v>
      </c>
      <c r="H145" t="n">
        <v>2</v>
      </c>
      <c r="I145" t="n">
        <v>0</v>
      </c>
      <c r="J145" t="n">
        <v>1</v>
      </c>
      <c r="K145" t="n">
        <v>0</v>
      </c>
      <c r="L145" t="n">
        <v>0</v>
      </c>
      <c r="M145" t="n">
        <v>0</v>
      </c>
      <c r="N145" t="n">
        <v>0</v>
      </c>
      <c r="O145" t="n">
        <v>1</v>
      </c>
      <c r="P145" t="n">
        <v>0</v>
      </c>
      <c r="Q145" t="n">
        <v>2</v>
      </c>
      <c r="R145" s="2" t="inlineStr">
        <is>
          <t>Entita
Kungsfågel</t>
        </is>
      </c>
      <c r="S145">
        <f>HYPERLINK("https://klasma.github.io/Logging_1273/artfynd/A 31632-2025 artfynd.xlsx", "A 31632-2025")</f>
        <v/>
      </c>
      <c r="T145">
        <f>HYPERLINK("https://klasma.github.io/Logging_1273/kartor/A 31632-2025 karta.png", "A 31632-2025")</f>
        <v/>
      </c>
      <c r="V145">
        <f>HYPERLINK("https://klasma.github.io/Logging_1273/klagomål/A 31632-2025 FSC-klagomål.docx", "A 31632-2025")</f>
        <v/>
      </c>
      <c r="W145">
        <f>HYPERLINK("https://klasma.github.io/Logging_1273/klagomålsmail/A 31632-2025 FSC-klagomål mail.docx", "A 31632-2025")</f>
        <v/>
      </c>
      <c r="X145">
        <f>HYPERLINK("https://klasma.github.io/Logging_1273/tillsyn/A 31632-2025 tillsynsbegäran.docx", "A 31632-2025")</f>
        <v/>
      </c>
      <c r="Y145">
        <f>HYPERLINK("https://klasma.github.io/Logging_1273/tillsynsmail/A 31632-2025 tillsynsbegäran mail.docx", "A 31632-2025")</f>
        <v/>
      </c>
      <c r="Z145">
        <f>HYPERLINK("https://klasma.github.io/Logging_1273/fåglar/A 31632-2025 prioriterade fågelarter.docx", "A 31632-2025")</f>
        <v/>
      </c>
    </row>
    <row r="146" ht="15" customHeight="1">
      <c r="A146" t="inlineStr">
        <is>
          <t>A 33082-2025</t>
        </is>
      </c>
      <c r="B146" s="1" t="n">
        <v>45840.46471064815</v>
      </c>
      <c r="C146" s="1" t="n">
        <v>45962</v>
      </c>
      <c r="D146" t="inlineStr">
        <is>
          <t>SKÅNE LÄN</t>
        </is>
      </c>
      <c r="E146" t="inlineStr">
        <is>
          <t>HÖRBY</t>
        </is>
      </c>
      <c r="G146" t="n">
        <v>2.5</v>
      </c>
      <c r="H146" t="n">
        <v>1</v>
      </c>
      <c r="I146" t="n">
        <v>0</v>
      </c>
      <c r="J146" t="n">
        <v>0</v>
      </c>
      <c r="K146" t="n">
        <v>1</v>
      </c>
      <c r="L146" t="n">
        <v>0</v>
      </c>
      <c r="M146" t="n">
        <v>0</v>
      </c>
      <c r="N146" t="n">
        <v>0</v>
      </c>
      <c r="O146" t="n">
        <v>1</v>
      </c>
      <c r="P146" t="n">
        <v>1</v>
      </c>
      <c r="Q146" t="n">
        <v>2</v>
      </c>
      <c r="R146" s="2" t="inlineStr">
        <is>
          <t>Småvänderot
Grönvit nattviol</t>
        </is>
      </c>
      <c r="S146">
        <f>HYPERLINK("https://klasma.github.io/Logging_1266/artfynd/A 33082-2025 artfynd.xlsx", "A 33082-2025")</f>
        <v/>
      </c>
      <c r="T146">
        <f>HYPERLINK("https://klasma.github.io/Logging_1266/kartor/A 33082-2025 karta.png", "A 33082-2025")</f>
        <v/>
      </c>
      <c r="V146">
        <f>HYPERLINK("https://klasma.github.io/Logging_1266/klagomål/A 33082-2025 FSC-klagomål.docx", "A 33082-2025")</f>
        <v/>
      </c>
      <c r="W146">
        <f>HYPERLINK("https://klasma.github.io/Logging_1266/klagomålsmail/A 33082-2025 FSC-klagomål mail.docx", "A 33082-2025")</f>
        <v/>
      </c>
      <c r="X146">
        <f>HYPERLINK("https://klasma.github.io/Logging_1266/tillsyn/A 33082-2025 tillsynsbegäran.docx", "A 33082-2025")</f>
        <v/>
      </c>
      <c r="Y146">
        <f>HYPERLINK("https://klasma.github.io/Logging_1266/tillsynsmail/A 33082-2025 tillsynsbegäran mail.docx", "A 33082-2025")</f>
        <v/>
      </c>
    </row>
    <row r="147" ht="15" customHeight="1">
      <c r="A147" t="inlineStr">
        <is>
          <t>A 29157-2023</t>
        </is>
      </c>
      <c r="B147" s="1" t="n">
        <v>45105.47994212963</v>
      </c>
      <c r="C147" s="1" t="n">
        <v>45962</v>
      </c>
      <c r="D147" t="inlineStr">
        <is>
          <t>SKÅNE LÄN</t>
        </is>
      </c>
      <c r="E147" t="inlineStr">
        <is>
          <t>ÄNGELHOLM</t>
        </is>
      </c>
      <c r="G147" t="n">
        <v>6.9</v>
      </c>
      <c r="H147" t="n">
        <v>2</v>
      </c>
      <c r="I147" t="n">
        <v>0</v>
      </c>
      <c r="J147" t="n">
        <v>2</v>
      </c>
      <c r="K147" t="n">
        <v>0</v>
      </c>
      <c r="L147" t="n">
        <v>0</v>
      </c>
      <c r="M147" t="n">
        <v>0</v>
      </c>
      <c r="N147" t="n">
        <v>0</v>
      </c>
      <c r="O147" t="n">
        <v>2</v>
      </c>
      <c r="P147" t="n">
        <v>0</v>
      </c>
      <c r="Q147" t="n">
        <v>2</v>
      </c>
      <c r="R147" s="2" t="inlineStr">
        <is>
          <t>Entita
Talltita</t>
        </is>
      </c>
      <c r="S147">
        <f>HYPERLINK("https://klasma.github.io/Logging_1292/artfynd/A 29157-2023 artfynd.xlsx", "A 29157-2023")</f>
        <v/>
      </c>
      <c r="T147">
        <f>HYPERLINK("https://klasma.github.io/Logging_1292/kartor/A 29157-2023 karta.png", "A 29157-2023")</f>
        <v/>
      </c>
      <c r="V147">
        <f>HYPERLINK("https://klasma.github.io/Logging_1292/klagomål/A 29157-2023 FSC-klagomål.docx", "A 29157-2023")</f>
        <v/>
      </c>
      <c r="W147">
        <f>HYPERLINK("https://klasma.github.io/Logging_1292/klagomålsmail/A 29157-2023 FSC-klagomål mail.docx", "A 29157-2023")</f>
        <v/>
      </c>
      <c r="X147">
        <f>HYPERLINK("https://klasma.github.io/Logging_1292/tillsyn/A 29157-2023 tillsynsbegäran.docx", "A 29157-2023")</f>
        <v/>
      </c>
      <c r="Y147">
        <f>HYPERLINK("https://klasma.github.io/Logging_1292/tillsynsmail/A 29157-2023 tillsynsbegäran mail.docx", "A 29157-2023")</f>
        <v/>
      </c>
      <c r="Z147">
        <f>HYPERLINK("https://klasma.github.io/Logging_1292/fåglar/A 29157-2023 prioriterade fågelarter.docx", "A 29157-2023")</f>
        <v/>
      </c>
    </row>
    <row r="148" ht="15" customHeight="1">
      <c r="A148" t="inlineStr">
        <is>
          <t>A 419-2025</t>
        </is>
      </c>
      <c r="B148" s="1" t="n">
        <v>45663</v>
      </c>
      <c r="C148" s="1" t="n">
        <v>45962</v>
      </c>
      <c r="D148" t="inlineStr">
        <is>
          <t>SKÅNE LÄN</t>
        </is>
      </c>
      <c r="E148" t="inlineStr">
        <is>
          <t>KRISTIANSTAD</t>
        </is>
      </c>
      <c r="G148" t="n">
        <v>14.5</v>
      </c>
      <c r="H148" t="n">
        <v>1</v>
      </c>
      <c r="I148" t="n">
        <v>1</v>
      </c>
      <c r="J148" t="n">
        <v>0</v>
      </c>
      <c r="K148" t="n">
        <v>0</v>
      </c>
      <c r="L148" t="n">
        <v>0</v>
      </c>
      <c r="M148" t="n">
        <v>0</v>
      </c>
      <c r="N148" t="n">
        <v>0</v>
      </c>
      <c r="O148" t="n">
        <v>0</v>
      </c>
      <c r="P148" t="n">
        <v>0</v>
      </c>
      <c r="Q148" t="n">
        <v>2</v>
      </c>
      <c r="R148" s="2" t="inlineStr">
        <is>
          <t>Murgröna
Vanlig groda</t>
        </is>
      </c>
      <c r="S148">
        <f>HYPERLINK("https://klasma.github.io/Logging_1290/artfynd/A 419-2025 artfynd.xlsx", "A 419-2025")</f>
        <v/>
      </c>
      <c r="T148">
        <f>HYPERLINK("https://klasma.github.io/Logging_1290/kartor/A 419-2025 karta.png", "A 419-2025")</f>
        <v/>
      </c>
      <c r="V148">
        <f>HYPERLINK("https://klasma.github.io/Logging_1290/klagomål/A 419-2025 FSC-klagomål.docx", "A 419-2025")</f>
        <v/>
      </c>
      <c r="W148">
        <f>HYPERLINK("https://klasma.github.io/Logging_1290/klagomålsmail/A 419-2025 FSC-klagomål mail.docx", "A 419-2025")</f>
        <v/>
      </c>
      <c r="X148">
        <f>HYPERLINK("https://klasma.github.io/Logging_1290/tillsyn/A 419-2025 tillsynsbegäran.docx", "A 419-2025")</f>
        <v/>
      </c>
      <c r="Y148">
        <f>HYPERLINK("https://klasma.github.io/Logging_1290/tillsynsmail/A 419-2025 tillsynsbegäran mail.docx", "A 419-2025")</f>
        <v/>
      </c>
    </row>
    <row r="149" ht="15" customHeight="1">
      <c r="A149" t="inlineStr">
        <is>
          <t>A 34213-2025</t>
        </is>
      </c>
      <c r="B149" s="1" t="n">
        <v>45844</v>
      </c>
      <c r="C149" s="1" t="n">
        <v>45962</v>
      </c>
      <c r="D149" t="inlineStr">
        <is>
          <t>SKÅNE LÄN</t>
        </is>
      </c>
      <c r="E149" t="inlineStr">
        <is>
          <t>OSBY</t>
        </is>
      </c>
      <c r="F149" t="inlineStr">
        <is>
          <t>Naturvårdsverket</t>
        </is>
      </c>
      <c r="G149" t="n">
        <v>1.5</v>
      </c>
      <c r="H149" t="n">
        <v>1</v>
      </c>
      <c r="I149" t="n">
        <v>1</v>
      </c>
      <c r="J149" t="n">
        <v>0</v>
      </c>
      <c r="K149" t="n">
        <v>0</v>
      </c>
      <c r="L149" t="n">
        <v>0</v>
      </c>
      <c r="M149" t="n">
        <v>0</v>
      </c>
      <c r="N149" t="n">
        <v>0</v>
      </c>
      <c r="O149" t="n">
        <v>0</v>
      </c>
      <c r="P149" t="n">
        <v>0</v>
      </c>
      <c r="Q149" t="n">
        <v>2</v>
      </c>
      <c r="R149" s="2" t="inlineStr">
        <is>
          <t>Blåmossa
Äkta lopplummer</t>
        </is>
      </c>
      <c r="S149">
        <f>HYPERLINK("https://klasma.github.io/Logging_1273/artfynd/A 34213-2025 artfynd.xlsx", "A 34213-2025")</f>
        <v/>
      </c>
      <c r="T149">
        <f>HYPERLINK("https://klasma.github.io/Logging_1273/kartor/A 34213-2025 karta.png", "A 34213-2025")</f>
        <v/>
      </c>
      <c r="V149">
        <f>HYPERLINK("https://klasma.github.io/Logging_1273/klagomål/A 34213-2025 FSC-klagomål.docx", "A 34213-2025")</f>
        <v/>
      </c>
      <c r="W149">
        <f>HYPERLINK("https://klasma.github.io/Logging_1273/klagomålsmail/A 34213-2025 FSC-klagomål mail.docx", "A 34213-2025")</f>
        <v/>
      </c>
      <c r="X149">
        <f>HYPERLINK("https://klasma.github.io/Logging_1273/tillsyn/A 34213-2025 tillsynsbegäran.docx", "A 34213-2025")</f>
        <v/>
      </c>
      <c r="Y149">
        <f>HYPERLINK("https://klasma.github.io/Logging_1273/tillsynsmail/A 34213-2025 tillsynsbegäran mail.docx", "A 34213-2025")</f>
        <v/>
      </c>
    </row>
    <row r="150" ht="15" customHeight="1">
      <c r="A150" t="inlineStr">
        <is>
          <t>A 44586-2022</t>
        </is>
      </c>
      <c r="B150" s="1" t="n">
        <v>44840</v>
      </c>
      <c r="C150" s="1" t="n">
        <v>45962</v>
      </c>
      <c r="D150" t="inlineStr">
        <is>
          <t>SKÅNE LÄN</t>
        </is>
      </c>
      <c r="E150" t="inlineStr">
        <is>
          <t>KRISTIANSTAD</t>
        </is>
      </c>
      <c r="G150" t="n">
        <v>8.199999999999999</v>
      </c>
      <c r="H150" t="n">
        <v>0</v>
      </c>
      <c r="I150" t="n">
        <v>2</v>
      </c>
      <c r="J150" t="n">
        <v>0</v>
      </c>
      <c r="K150" t="n">
        <v>0</v>
      </c>
      <c r="L150" t="n">
        <v>0</v>
      </c>
      <c r="M150" t="n">
        <v>0</v>
      </c>
      <c r="N150" t="n">
        <v>0</v>
      </c>
      <c r="O150" t="n">
        <v>0</v>
      </c>
      <c r="P150" t="n">
        <v>0</v>
      </c>
      <c r="Q150" t="n">
        <v>2</v>
      </c>
      <c r="R150" s="2" t="inlineStr">
        <is>
          <t>Blåmossa
Västlig hakmossa</t>
        </is>
      </c>
      <c r="S150">
        <f>HYPERLINK("https://klasma.github.io/Logging_1290/artfynd/A 44586-2022 artfynd.xlsx", "A 44586-2022")</f>
        <v/>
      </c>
      <c r="T150">
        <f>HYPERLINK("https://klasma.github.io/Logging_1290/kartor/A 44586-2022 karta.png", "A 44586-2022")</f>
        <v/>
      </c>
      <c r="V150">
        <f>HYPERLINK("https://klasma.github.io/Logging_1290/klagomål/A 44586-2022 FSC-klagomål.docx", "A 44586-2022")</f>
        <v/>
      </c>
      <c r="W150">
        <f>HYPERLINK("https://klasma.github.io/Logging_1290/klagomålsmail/A 44586-2022 FSC-klagomål mail.docx", "A 44586-2022")</f>
        <v/>
      </c>
      <c r="X150">
        <f>HYPERLINK("https://klasma.github.io/Logging_1290/tillsyn/A 44586-2022 tillsynsbegäran.docx", "A 44586-2022")</f>
        <v/>
      </c>
      <c r="Y150">
        <f>HYPERLINK("https://klasma.github.io/Logging_1290/tillsynsmail/A 44586-2022 tillsynsbegäran mail.docx", "A 44586-2022")</f>
        <v/>
      </c>
    </row>
    <row r="151" ht="15" customHeight="1">
      <c r="A151" t="inlineStr">
        <is>
          <t>A 31697-2023</t>
        </is>
      </c>
      <c r="B151" s="1" t="n">
        <v>45117</v>
      </c>
      <c r="C151" s="1" t="n">
        <v>45962</v>
      </c>
      <c r="D151" t="inlineStr">
        <is>
          <t>SKÅNE LÄN</t>
        </is>
      </c>
      <c r="E151" t="inlineStr">
        <is>
          <t>SVEDALA</t>
        </is>
      </c>
      <c r="G151" t="n">
        <v>2.2</v>
      </c>
      <c r="H151" t="n">
        <v>2</v>
      </c>
      <c r="I151" t="n">
        <v>0</v>
      </c>
      <c r="J151" t="n">
        <v>0</v>
      </c>
      <c r="K151" t="n">
        <v>0</v>
      </c>
      <c r="L151" t="n">
        <v>0</v>
      </c>
      <c r="M151" t="n">
        <v>0</v>
      </c>
      <c r="N151" t="n">
        <v>0</v>
      </c>
      <c r="O151" t="n">
        <v>0</v>
      </c>
      <c r="P151" t="n">
        <v>0</v>
      </c>
      <c r="Q151" t="n">
        <v>2</v>
      </c>
      <c r="R151" s="2" t="inlineStr">
        <is>
          <t>Lövgroda
Större vattensalamander</t>
        </is>
      </c>
      <c r="S151">
        <f>HYPERLINK("https://klasma.github.io/Logging_1263/artfynd/A 31697-2023 artfynd.xlsx", "A 31697-2023")</f>
        <v/>
      </c>
      <c r="T151">
        <f>HYPERLINK("https://klasma.github.io/Logging_1263/kartor/A 31697-2023 karta.png", "A 31697-2023")</f>
        <v/>
      </c>
      <c r="V151">
        <f>HYPERLINK("https://klasma.github.io/Logging_1263/klagomål/A 31697-2023 FSC-klagomål.docx", "A 31697-2023")</f>
        <v/>
      </c>
      <c r="W151">
        <f>HYPERLINK("https://klasma.github.io/Logging_1263/klagomålsmail/A 31697-2023 FSC-klagomål mail.docx", "A 31697-2023")</f>
        <v/>
      </c>
      <c r="X151">
        <f>HYPERLINK("https://klasma.github.io/Logging_1263/tillsyn/A 31697-2023 tillsynsbegäran.docx", "A 31697-2023")</f>
        <v/>
      </c>
      <c r="Y151">
        <f>HYPERLINK("https://klasma.github.io/Logging_1263/tillsynsmail/A 31697-2023 tillsynsbegäran mail.docx", "A 31697-2023")</f>
        <v/>
      </c>
    </row>
    <row r="152" ht="15" customHeight="1">
      <c r="A152" t="inlineStr">
        <is>
          <t>A 4112-2025</t>
        </is>
      </c>
      <c r="B152" s="1" t="n">
        <v>45684.70283564815</v>
      </c>
      <c r="C152" s="1" t="n">
        <v>45962</v>
      </c>
      <c r="D152" t="inlineStr">
        <is>
          <t>SKÅNE LÄN</t>
        </is>
      </c>
      <c r="E152" t="inlineStr">
        <is>
          <t>ÖRKELLJUNGA</t>
        </is>
      </c>
      <c r="G152" t="n">
        <v>11.4</v>
      </c>
      <c r="H152" t="n">
        <v>2</v>
      </c>
      <c r="I152" t="n">
        <v>0</v>
      </c>
      <c r="J152" t="n">
        <v>1</v>
      </c>
      <c r="K152" t="n">
        <v>0</v>
      </c>
      <c r="L152" t="n">
        <v>0</v>
      </c>
      <c r="M152" t="n">
        <v>0</v>
      </c>
      <c r="N152" t="n">
        <v>0</v>
      </c>
      <c r="O152" t="n">
        <v>1</v>
      </c>
      <c r="P152" t="n">
        <v>0</v>
      </c>
      <c r="Q152" t="n">
        <v>2</v>
      </c>
      <c r="R152" s="2" t="inlineStr">
        <is>
          <t>Utter
Vanlig padda</t>
        </is>
      </c>
      <c r="S152">
        <f>HYPERLINK("https://klasma.github.io/Logging_1257/artfynd/A 4112-2025 artfynd.xlsx", "A 4112-2025")</f>
        <v/>
      </c>
      <c r="T152">
        <f>HYPERLINK("https://klasma.github.io/Logging_1257/kartor/A 4112-2025 karta.png", "A 4112-2025")</f>
        <v/>
      </c>
      <c r="V152">
        <f>HYPERLINK("https://klasma.github.io/Logging_1257/klagomål/A 4112-2025 FSC-klagomål.docx", "A 4112-2025")</f>
        <v/>
      </c>
      <c r="W152">
        <f>HYPERLINK("https://klasma.github.io/Logging_1257/klagomålsmail/A 4112-2025 FSC-klagomål mail.docx", "A 4112-2025")</f>
        <v/>
      </c>
      <c r="X152">
        <f>HYPERLINK("https://klasma.github.io/Logging_1257/tillsyn/A 4112-2025 tillsynsbegäran.docx", "A 4112-2025")</f>
        <v/>
      </c>
      <c r="Y152">
        <f>HYPERLINK("https://klasma.github.io/Logging_1257/tillsynsmail/A 4112-2025 tillsynsbegäran mail.docx", "A 4112-2025")</f>
        <v/>
      </c>
    </row>
    <row r="153" ht="15" customHeight="1">
      <c r="A153" t="inlineStr">
        <is>
          <t>A 38522-2025</t>
        </is>
      </c>
      <c r="B153" s="1" t="n">
        <v>45884</v>
      </c>
      <c r="C153" s="1" t="n">
        <v>45962</v>
      </c>
      <c r="D153" t="inlineStr">
        <is>
          <t>SKÅNE LÄN</t>
        </is>
      </c>
      <c r="E153" t="inlineStr">
        <is>
          <t>SVALÖV</t>
        </is>
      </c>
      <c r="G153" t="n">
        <v>2.6</v>
      </c>
      <c r="H153" t="n">
        <v>1</v>
      </c>
      <c r="I153" t="n">
        <v>2</v>
      </c>
      <c r="J153" t="n">
        <v>0</v>
      </c>
      <c r="K153" t="n">
        <v>0</v>
      </c>
      <c r="L153" t="n">
        <v>0</v>
      </c>
      <c r="M153" t="n">
        <v>0</v>
      </c>
      <c r="N153" t="n">
        <v>0</v>
      </c>
      <c r="O153" t="n">
        <v>0</v>
      </c>
      <c r="P153" t="n">
        <v>0</v>
      </c>
      <c r="Q153" t="n">
        <v>2</v>
      </c>
      <c r="R153" s="2" t="inlineStr">
        <is>
          <t>Skogsknipprot
Stor häxört</t>
        </is>
      </c>
      <c r="S153">
        <f>HYPERLINK("https://klasma.github.io/Logging_1214/artfynd/A 38522-2025 artfynd.xlsx", "A 38522-2025")</f>
        <v/>
      </c>
      <c r="T153">
        <f>HYPERLINK("https://klasma.github.io/Logging_1214/kartor/A 38522-2025 karta.png", "A 38522-2025")</f>
        <v/>
      </c>
      <c r="V153">
        <f>HYPERLINK("https://klasma.github.io/Logging_1214/klagomål/A 38522-2025 FSC-klagomål.docx", "A 38522-2025")</f>
        <v/>
      </c>
      <c r="W153">
        <f>HYPERLINK("https://klasma.github.io/Logging_1214/klagomålsmail/A 38522-2025 FSC-klagomål mail.docx", "A 38522-2025")</f>
        <v/>
      </c>
      <c r="X153">
        <f>HYPERLINK("https://klasma.github.io/Logging_1214/tillsyn/A 38522-2025 tillsynsbegäran.docx", "A 38522-2025")</f>
        <v/>
      </c>
      <c r="Y153">
        <f>HYPERLINK("https://klasma.github.io/Logging_1214/tillsynsmail/A 38522-2025 tillsynsbegäran mail.docx", "A 38522-2025")</f>
        <v/>
      </c>
    </row>
    <row r="154" ht="15" customHeight="1">
      <c r="A154" t="inlineStr">
        <is>
          <t>A 60295-2022</t>
        </is>
      </c>
      <c r="B154" s="1" t="n">
        <v>44903</v>
      </c>
      <c r="C154" s="1" t="n">
        <v>45962</v>
      </c>
      <c r="D154" t="inlineStr">
        <is>
          <t>SKÅNE LÄN</t>
        </is>
      </c>
      <c r="E154" t="inlineStr">
        <is>
          <t>YSTAD</t>
        </is>
      </c>
      <c r="G154" t="n">
        <v>1.1</v>
      </c>
      <c r="H154" t="n">
        <v>2</v>
      </c>
      <c r="I154" t="n">
        <v>0</v>
      </c>
      <c r="J154" t="n">
        <v>0</v>
      </c>
      <c r="K154" t="n">
        <v>0</v>
      </c>
      <c r="L154" t="n">
        <v>0</v>
      </c>
      <c r="M154" t="n">
        <v>0</v>
      </c>
      <c r="N154" t="n">
        <v>0</v>
      </c>
      <c r="O154" t="n">
        <v>0</v>
      </c>
      <c r="P154" t="n">
        <v>0</v>
      </c>
      <c r="Q154" t="n">
        <v>2</v>
      </c>
      <c r="R154" s="2" t="inlineStr">
        <is>
          <t>Klockgroda
Ätlig groda</t>
        </is>
      </c>
      <c r="S154">
        <f>HYPERLINK("https://klasma.github.io/Logging_1286/artfynd/A 60295-2022 artfynd.xlsx", "A 60295-2022")</f>
        <v/>
      </c>
      <c r="T154">
        <f>HYPERLINK("https://klasma.github.io/Logging_1286/kartor/A 60295-2022 karta.png", "A 60295-2022")</f>
        <v/>
      </c>
      <c r="V154">
        <f>HYPERLINK("https://klasma.github.io/Logging_1286/klagomål/A 60295-2022 FSC-klagomål.docx", "A 60295-2022")</f>
        <v/>
      </c>
      <c r="W154">
        <f>HYPERLINK("https://klasma.github.io/Logging_1286/klagomålsmail/A 60295-2022 FSC-klagomål mail.docx", "A 60295-2022")</f>
        <v/>
      </c>
      <c r="X154">
        <f>HYPERLINK("https://klasma.github.io/Logging_1286/tillsyn/A 60295-2022 tillsynsbegäran.docx", "A 60295-2022")</f>
        <v/>
      </c>
      <c r="Y154">
        <f>HYPERLINK("https://klasma.github.io/Logging_1286/tillsynsmail/A 60295-2022 tillsynsbegäran mail.docx", "A 60295-2022")</f>
        <v/>
      </c>
    </row>
    <row r="155" ht="15" customHeight="1">
      <c r="A155" t="inlineStr">
        <is>
          <t>A 39165-2024</t>
        </is>
      </c>
      <c r="B155" s="1" t="n">
        <v>45548</v>
      </c>
      <c r="C155" s="1" t="n">
        <v>45962</v>
      </c>
      <c r="D155" t="inlineStr">
        <is>
          <t>SKÅNE LÄN</t>
        </is>
      </c>
      <c r="E155" t="inlineStr">
        <is>
          <t>SVALÖV</t>
        </is>
      </c>
      <c r="G155" t="n">
        <v>2.9</v>
      </c>
      <c r="H155" t="n">
        <v>0</v>
      </c>
      <c r="I155" t="n">
        <v>0</v>
      </c>
      <c r="J155" t="n">
        <v>0</v>
      </c>
      <c r="K155" t="n">
        <v>0</v>
      </c>
      <c r="L155" t="n">
        <v>1</v>
      </c>
      <c r="M155" t="n">
        <v>1</v>
      </c>
      <c r="N155" t="n">
        <v>0</v>
      </c>
      <c r="O155" t="n">
        <v>2</v>
      </c>
      <c r="P155" t="n">
        <v>2</v>
      </c>
      <c r="Q155" t="n">
        <v>2</v>
      </c>
      <c r="R155" s="2" t="inlineStr">
        <is>
          <t>Skogsalm
Ask</t>
        </is>
      </c>
      <c r="S155">
        <f>HYPERLINK("https://klasma.github.io/Logging_1214/artfynd/A 39165-2024 artfynd.xlsx", "A 39165-2024")</f>
        <v/>
      </c>
      <c r="T155">
        <f>HYPERLINK("https://klasma.github.io/Logging_1214/kartor/A 39165-2024 karta.png", "A 39165-2024")</f>
        <v/>
      </c>
      <c r="V155">
        <f>HYPERLINK("https://klasma.github.io/Logging_1214/klagomål/A 39165-2024 FSC-klagomål.docx", "A 39165-2024")</f>
        <v/>
      </c>
      <c r="W155">
        <f>HYPERLINK("https://klasma.github.io/Logging_1214/klagomålsmail/A 39165-2024 FSC-klagomål mail.docx", "A 39165-2024")</f>
        <v/>
      </c>
      <c r="X155">
        <f>HYPERLINK("https://klasma.github.io/Logging_1214/tillsyn/A 39165-2024 tillsynsbegäran.docx", "A 39165-2024")</f>
        <v/>
      </c>
      <c r="Y155">
        <f>HYPERLINK("https://klasma.github.io/Logging_1214/tillsynsmail/A 39165-2024 tillsynsbegäran mail.docx", "A 39165-2024")</f>
        <v/>
      </c>
    </row>
    <row r="156" ht="15" customHeight="1">
      <c r="A156" t="inlineStr">
        <is>
          <t>A 24388-2023</t>
        </is>
      </c>
      <c r="B156" s="1" t="n">
        <v>45082</v>
      </c>
      <c r="C156" s="1" t="n">
        <v>45962</v>
      </c>
      <c r="D156" t="inlineStr">
        <is>
          <t>SKÅNE LÄN</t>
        </is>
      </c>
      <c r="E156" t="inlineStr">
        <is>
          <t>OSBY</t>
        </is>
      </c>
      <c r="G156" t="n">
        <v>4.1</v>
      </c>
      <c r="H156" t="n">
        <v>0</v>
      </c>
      <c r="I156" t="n">
        <v>2</v>
      </c>
      <c r="J156" t="n">
        <v>0</v>
      </c>
      <c r="K156" t="n">
        <v>0</v>
      </c>
      <c r="L156" t="n">
        <v>0</v>
      </c>
      <c r="M156" t="n">
        <v>0</v>
      </c>
      <c r="N156" t="n">
        <v>0</v>
      </c>
      <c r="O156" t="n">
        <v>0</v>
      </c>
      <c r="P156" t="n">
        <v>0</v>
      </c>
      <c r="Q156" t="n">
        <v>2</v>
      </c>
      <c r="R156" s="2" t="inlineStr">
        <is>
          <t>Havstulpanlav
Vågbandad barkbock</t>
        </is>
      </c>
      <c r="S156">
        <f>HYPERLINK("https://klasma.github.io/Logging_1273/artfynd/A 24388-2023 artfynd.xlsx", "A 24388-2023")</f>
        <v/>
      </c>
      <c r="T156">
        <f>HYPERLINK("https://klasma.github.io/Logging_1273/kartor/A 24388-2023 karta.png", "A 24388-2023")</f>
        <v/>
      </c>
      <c r="V156">
        <f>HYPERLINK("https://klasma.github.io/Logging_1273/klagomål/A 24388-2023 FSC-klagomål.docx", "A 24388-2023")</f>
        <v/>
      </c>
      <c r="W156">
        <f>HYPERLINK("https://klasma.github.io/Logging_1273/klagomålsmail/A 24388-2023 FSC-klagomål mail.docx", "A 24388-2023")</f>
        <v/>
      </c>
      <c r="X156">
        <f>HYPERLINK("https://klasma.github.io/Logging_1273/tillsyn/A 24388-2023 tillsynsbegäran.docx", "A 24388-2023")</f>
        <v/>
      </c>
      <c r="Y156">
        <f>HYPERLINK("https://klasma.github.io/Logging_1273/tillsynsmail/A 24388-2023 tillsynsbegäran mail.docx", "A 24388-2023")</f>
        <v/>
      </c>
    </row>
    <row r="157" ht="15" customHeight="1">
      <c r="A157" t="inlineStr">
        <is>
          <t>A 37966-2024</t>
        </is>
      </c>
      <c r="B157" s="1" t="n">
        <v>45544</v>
      </c>
      <c r="C157" s="1" t="n">
        <v>45962</v>
      </c>
      <c r="D157" t="inlineStr">
        <is>
          <t>SKÅNE LÄN</t>
        </is>
      </c>
      <c r="E157" t="inlineStr">
        <is>
          <t>KLIPPAN</t>
        </is>
      </c>
      <c r="G157" t="n">
        <v>2.5</v>
      </c>
      <c r="H157" t="n">
        <v>2</v>
      </c>
      <c r="I157" t="n">
        <v>0</v>
      </c>
      <c r="J157" t="n">
        <v>0</v>
      </c>
      <c r="K157" t="n">
        <v>0</v>
      </c>
      <c r="L157" t="n">
        <v>0</v>
      </c>
      <c r="M157" t="n">
        <v>0</v>
      </c>
      <c r="N157" t="n">
        <v>0</v>
      </c>
      <c r="O157" t="n">
        <v>0</v>
      </c>
      <c r="P157" t="n">
        <v>0</v>
      </c>
      <c r="Q157" t="n">
        <v>2</v>
      </c>
      <c r="R157" s="2" t="inlineStr">
        <is>
          <t>Större vattensalamander
Vanlig padda</t>
        </is>
      </c>
      <c r="S157">
        <f>HYPERLINK("https://klasma.github.io/Logging_1276/artfynd/A 37966-2024 artfynd.xlsx", "A 37966-2024")</f>
        <v/>
      </c>
      <c r="T157">
        <f>HYPERLINK("https://klasma.github.io/Logging_1276/kartor/A 37966-2024 karta.png", "A 37966-2024")</f>
        <v/>
      </c>
      <c r="V157">
        <f>HYPERLINK("https://klasma.github.io/Logging_1276/klagomål/A 37966-2024 FSC-klagomål.docx", "A 37966-2024")</f>
        <v/>
      </c>
      <c r="W157">
        <f>HYPERLINK("https://klasma.github.io/Logging_1276/klagomålsmail/A 37966-2024 FSC-klagomål mail.docx", "A 37966-2024")</f>
        <v/>
      </c>
      <c r="X157">
        <f>HYPERLINK("https://klasma.github.io/Logging_1276/tillsyn/A 37966-2024 tillsynsbegäran.docx", "A 37966-2024")</f>
        <v/>
      </c>
      <c r="Y157">
        <f>HYPERLINK("https://klasma.github.io/Logging_1276/tillsynsmail/A 37966-2024 tillsynsbegäran mail.docx", "A 37966-2024")</f>
        <v/>
      </c>
    </row>
    <row r="158" ht="15" customHeight="1">
      <c r="A158" t="inlineStr">
        <is>
          <t>A 36700-2025</t>
        </is>
      </c>
      <c r="B158" s="1" t="n">
        <v>45873</v>
      </c>
      <c r="C158" s="1" t="n">
        <v>45962</v>
      </c>
      <c r="D158" t="inlineStr">
        <is>
          <t>SKÅNE LÄN</t>
        </is>
      </c>
      <c r="E158" t="inlineStr">
        <is>
          <t>PERSTORP</t>
        </is>
      </c>
      <c r="G158" t="n">
        <v>3.9</v>
      </c>
      <c r="H158" t="n">
        <v>2</v>
      </c>
      <c r="I158" t="n">
        <v>0</v>
      </c>
      <c r="J158" t="n">
        <v>0</v>
      </c>
      <c r="K158" t="n">
        <v>0</v>
      </c>
      <c r="L158" t="n">
        <v>0</v>
      </c>
      <c r="M158" t="n">
        <v>0</v>
      </c>
      <c r="N158" t="n">
        <v>0</v>
      </c>
      <c r="O158" t="n">
        <v>0</v>
      </c>
      <c r="P158" t="n">
        <v>0</v>
      </c>
      <c r="Q158" t="n">
        <v>2</v>
      </c>
      <c r="R158" s="2" t="inlineStr">
        <is>
          <t>Skogsödla
Vanlig padda</t>
        </is>
      </c>
      <c r="S158">
        <f>HYPERLINK("https://klasma.github.io/Logging_1275/artfynd/A 36700-2025 artfynd.xlsx", "A 36700-2025")</f>
        <v/>
      </c>
      <c r="T158">
        <f>HYPERLINK("https://klasma.github.io/Logging_1275/kartor/A 36700-2025 karta.png", "A 36700-2025")</f>
        <v/>
      </c>
      <c r="V158">
        <f>HYPERLINK("https://klasma.github.io/Logging_1275/klagomål/A 36700-2025 FSC-klagomål.docx", "A 36700-2025")</f>
        <v/>
      </c>
      <c r="W158">
        <f>HYPERLINK("https://klasma.github.io/Logging_1275/klagomålsmail/A 36700-2025 FSC-klagomål mail.docx", "A 36700-2025")</f>
        <v/>
      </c>
      <c r="X158">
        <f>HYPERLINK("https://klasma.github.io/Logging_1275/tillsyn/A 36700-2025 tillsynsbegäran.docx", "A 36700-2025")</f>
        <v/>
      </c>
      <c r="Y158">
        <f>HYPERLINK("https://klasma.github.io/Logging_1275/tillsynsmail/A 36700-2025 tillsynsbegäran mail.docx", "A 36700-2025")</f>
        <v/>
      </c>
    </row>
    <row r="159" ht="15" customHeight="1">
      <c r="A159" t="inlineStr">
        <is>
          <t>A 8257-2025</t>
        </is>
      </c>
      <c r="B159" s="1" t="n">
        <v>45708.49938657408</v>
      </c>
      <c r="C159" s="1" t="n">
        <v>45962</v>
      </c>
      <c r="D159" t="inlineStr">
        <is>
          <t>SKÅNE LÄN</t>
        </is>
      </c>
      <c r="E159" t="inlineStr">
        <is>
          <t>HÄSSLEHOLM</t>
        </is>
      </c>
      <c r="G159" t="n">
        <v>2.1</v>
      </c>
      <c r="H159" t="n">
        <v>2</v>
      </c>
      <c r="I159" t="n">
        <v>0</v>
      </c>
      <c r="J159" t="n">
        <v>1</v>
      </c>
      <c r="K159" t="n">
        <v>0</v>
      </c>
      <c r="L159" t="n">
        <v>0</v>
      </c>
      <c r="M159" t="n">
        <v>0</v>
      </c>
      <c r="N159" t="n">
        <v>0</v>
      </c>
      <c r="O159" t="n">
        <v>1</v>
      </c>
      <c r="P159" t="n">
        <v>0</v>
      </c>
      <c r="Q159" t="n">
        <v>2</v>
      </c>
      <c r="R159" s="2" t="inlineStr">
        <is>
          <t>Talltita
Grönsiska</t>
        </is>
      </c>
      <c r="S159">
        <f>HYPERLINK("https://klasma.github.io/Logging_1293/artfynd/A 8257-2025 artfynd.xlsx", "A 8257-2025")</f>
        <v/>
      </c>
      <c r="T159">
        <f>HYPERLINK("https://klasma.github.io/Logging_1293/kartor/A 8257-2025 karta.png", "A 8257-2025")</f>
        <v/>
      </c>
      <c r="V159">
        <f>HYPERLINK("https://klasma.github.io/Logging_1293/klagomål/A 8257-2025 FSC-klagomål.docx", "A 8257-2025")</f>
        <v/>
      </c>
      <c r="W159">
        <f>HYPERLINK("https://klasma.github.io/Logging_1293/klagomålsmail/A 8257-2025 FSC-klagomål mail.docx", "A 8257-2025")</f>
        <v/>
      </c>
      <c r="X159">
        <f>HYPERLINK("https://klasma.github.io/Logging_1293/tillsyn/A 8257-2025 tillsynsbegäran.docx", "A 8257-2025")</f>
        <v/>
      </c>
      <c r="Y159">
        <f>HYPERLINK("https://klasma.github.io/Logging_1293/tillsynsmail/A 8257-2025 tillsynsbegäran mail.docx", "A 8257-2025")</f>
        <v/>
      </c>
      <c r="Z159">
        <f>HYPERLINK("https://klasma.github.io/Logging_1293/fåglar/A 8257-2025 prioriterade fågelarter.docx", "A 8257-2025")</f>
        <v/>
      </c>
    </row>
    <row r="160" ht="15" customHeight="1">
      <c r="A160" t="inlineStr">
        <is>
          <t>A 53878-2022</t>
        </is>
      </c>
      <c r="B160" s="1" t="n">
        <v>44880</v>
      </c>
      <c r="C160" s="1" t="n">
        <v>45962</v>
      </c>
      <c r="D160" t="inlineStr">
        <is>
          <t>SKÅNE LÄN</t>
        </is>
      </c>
      <c r="E160" t="inlineStr">
        <is>
          <t>KLIPPAN</t>
        </is>
      </c>
      <c r="G160" t="n">
        <v>8.300000000000001</v>
      </c>
      <c r="H160" t="n">
        <v>2</v>
      </c>
      <c r="I160" t="n">
        <v>0</v>
      </c>
      <c r="J160" t="n">
        <v>2</v>
      </c>
      <c r="K160" t="n">
        <v>0</v>
      </c>
      <c r="L160" t="n">
        <v>0</v>
      </c>
      <c r="M160" t="n">
        <v>0</v>
      </c>
      <c r="N160" t="n">
        <v>0</v>
      </c>
      <c r="O160" t="n">
        <v>2</v>
      </c>
      <c r="P160" t="n">
        <v>0</v>
      </c>
      <c r="Q160" t="n">
        <v>2</v>
      </c>
      <c r="R160" s="2" t="inlineStr">
        <is>
          <t>Entita
Gulsparv</t>
        </is>
      </c>
      <c r="S160">
        <f>HYPERLINK("https://klasma.github.io/Logging_1276/artfynd/A 53878-2022 artfynd.xlsx", "A 53878-2022")</f>
        <v/>
      </c>
      <c r="T160">
        <f>HYPERLINK("https://klasma.github.io/Logging_1276/kartor/A 53878-2022 karta.png", "A 53878-2022")</f>
        <v/>
      </c>
      <c r="V160">
        <f>HYPERLINK("https://klasma.github.io/Logging_1276/klagomål/A 53878-2022 FSC-klagomål.docx", "A 53878-2022")</f>
        <v/>
      </c>
      <c r="W160">
        <f>HYPERLINK("https://klasma.github.io/Logging_1276/klagomålsmail/A 53878-2022 FSC-klagomål mail.docx", "A 53878-2022")</f>
        <v/>
      </c>
      <c r="X160">
        <f>HYPERLINK("https://klasma.github.io/Logging_1276/tillsyn/A 53878-2022 tillsynsbegäran.docx", "A 53878-2022")</f>
        <v/>
      </c>
      <c r="Y160">
        <f>HYPERLINK("https://klasma.github.io/Logging_1276/tillsynsmail/A 53878-2022 tillsynsbegäran mail.docx", "A 53878-2022")</f>
        <v/>
      </c>
      <c r="Z160">
        <f>HYPERLINK("https://klasma.github.io/Logging_1276/fåglar/A 53878-2022 prioriterade fågelarter.docx", "A 53878-2022")</f>
        <v/>
      </c>
    </row>
    <row r="161" ht="15" customHeight="1">
      <c r="A161" t="inlineStr">
        <is>
          <t>A 45911-2024</t>
        </is>
      </c>
      <c r="B161" s="1" t="n">
        <v>45580</v>
      </c>
      <c r="C161" s="1" t="n">
        <v>45962</v>
      </c>
      <c r="D161" t="inlineStr">
        <is>
          <t>SKÅNE LÄN</t>
        </is>
      </c>
      <c r="E161" t="inlineStr">
        <is>
          <t>KRISTIANSTAD</t>
        </is>
      </c>
      <c r="G161" t="n">
        <v>2</v>
      </c>
      <c r="H161" t="n">
        <v>0</v>
      </c>
      <c r="I161" t="n">
        <v>2</v>
      </c>
      <c r="J161" t="n">
        <v>0</v>
      </c>
      <c r="K161" t="n">
        <v>0</v>
      </c>
      <c r="L161" t="n">
        <v>0</v>
      </c>
      <c r="M161" t="n">
        <v>0</v>
      </c>
      <c r="N161" t="n">
        <v>0</v>
      </c>
      <c r="O161" t="n">
        <v>0</v>
      </c>
      <c r="P161" t="n">
        <v>0</v>
      </c>
      <c r="Q161" t="n">
        <v>2</v>
      </c>
      <c r="R161" s="2" t="inlineStr">
        <is>
          <t>Lömsk flugsvamp
Svavelriska</t>
        </is>
      </c>
      <c r="S161">
        <f>HYPERLINK("https://klasma.github.io/Logging_1290/artfynd/A 45911-2024 artfynd.xlsx", "A 45911-2024")</f>
        <v/>
      </c>
      <c r="T161">
        <f>HYPERLINK("https://klasma.github.io/Logging_1290/kartor/A 45911-2024 karta.png", "A 45911-2024")</f>
        <v/>
      </c>
      <c r="V161">
        <f>HYPERLINK("https://klasma.github.io/Logging_1290/klagomål/A 45911-2024 FSC-klagomål.docx", "A 45911-2024")</f>
        <v/>
      </c>
      <c r="W161">
        <f>HYPERLINK("https://klasma.github.io/Logging_1290/klagomålsmail/A 45911-2024 FSC-klagomål mail.docx", "A 45911-2024")</f>
        <v/>
      </c>
      <c r="X161">
        <f>HYPERLINK("https://klasma.github.io/Logging_1290/tillsyn/A 45911-2024 tillsynsbegäran.docx", "A 45911-2024")</f>
        <v/>
      </c>
      <c r="Y161">
        <f>HYPERLINK("https://klasma.github.io/Logging_1290/tillsynsmail/A 45911-2024 tillsynsbegäran mail.docx", "A 45911-2024")</f>
        <v/>
      </c>
    </row>
    <row r="162" ht="15" customHeight="1">
      <c r="A162" t="inlineStr">
        <is>
          <t>A 4595-2025</t>
        </is>
      </c>
      <c r="B162" s="1" t="n">
        <v>45687</v>
      </c>
      <c r="C162" s="1" t="n">
        <v>45962</v>
      </c>
      <c r="D162" t="inlineStr">
        <is>
          <t>SKÅNE LÄN</t>
        </is>
      </c>
      <c r="E162" t="inlineStr">
        <is>
          <t>HÄSSLEHOLM</t>
        </is>
      </c>
      <c r="G162" t="n">
        <v>2.6</v>
      </c>
      <c r="H162" t="n">
        <v>1</v>
      </c>
      <c r="I162" t="n">
        <v>1</v>
      </c>
      <c r="J162" t="n">
        <v>0</v>
      </c>
      <c r="K162" t="n">
        <v>0</v>
      </c>
      <c r="L162" t="n">
        <v>0</v>
      </c>
      <c r="M162" t="n">
        <v>0</v>
      </c>
      <c r="N162" t="n">
        <v>0</v>
      </c>
      <c r="O162" t="n">
        <v>0</v>
      </c>
      <c r="P162" t="n">
        <v>0</v>
      </c>
      <c r="Q162" t="n">
        <v>2</v>
      </c>
      <c r="R162" s="2" t="inlineStr">
        <is>
          <t>Blåmossa
Tjäder</t>
        </is>
      </c>
      <c r="S162">
        <f>HYPERLINK("https://klasma.github.io/Logging_1293/artfynd/A 4595-2025 artfynd.xlsx", "A 4595-2025")</f>
        <v/>
      </c>
      <c r="T162">
        <f>HYPERLINK("https://klasma.github.io/Logging_1293/kartor/A 4595-2025 karta.png", "A 4595-2025")</f>
        <v/>
      </c>
      <c r="V162">
        <f>HYPERLINK("https://klasma.github.io/Logging_1293/klagomål/A 4595-2025 FSC-klagomål.docx", "A 4595-2025")</f>
        <v/>
      </c>
      <c r="W162">
        <f>HYPERLINK("https://klasma.github.io/Logging_1293/klagomålsmail/A 4595-2025 FSC-klagomål mail.docx", "A 4595-2025")</f>
        <v/>
      </c>
      <c r="X162">
        <f>HYPERLINK("https://klasma.github.io/Logging_1293/tillsyn/A 4595-2025 tillsynsbegäran.docx", "A 4595-2025")</f>
        <v/>
      </c>
      <c r="Y162">
        <f>HYPERLINK("https://klasma.github.io/Logging_1293/tillsynsmail/A 4595-2025 tillsynsbegäran mail.docx", "A 4595-2025")</f>
        <v/>
      </c>
      <c r="Z162">
        <f>HYPERLINK("https://klasma.github.io/Logging_1293/fåglar/A 4595-2025 prioriterade fågelarter.docx", "A 4595-2025")</f>
        <v/>
      </c>
    </row>
    <row r="163" ht="15" customHeight="1">
      <c r="A163" t="inlineStr">
        <is>
          <t>A 10017-2024</t>
        </is>
      </c>
      <c r="B163" s="1" t="n">
        <v>45363</v>
      </c>
      <c r="C163" s="1" t="n">
        <v>45962</v>
      </c>
      <c r="D163" t="inlineStr">
        <is>
          <t>SKÅNE LÄN</t>
        </is>
      </c>
      <c r="E163" t="inlineStr">
        <is>
          <t>KRISTIANSTAD</t>
        </is>
      </c>
      <c r="G163" t="n">
        <v>4.5</v>
      </c>
      <c r="H163" t="n">
        <v>0</v>
      </c>
      <c r="I163" t="n">
        <v>1</v>
      </c>
      <c r="J163" t="n">
        <v>0</v>
      </c>
      <c r="K163" t="n">
        <v>0</v>
      </c>
      <c r="L163" t="n">
        <v>1</v>
      </c>
      <c r="M163" t="n">
        <v>0</v>
      </c>
      <c r="N163" t="n">
        <v>0</v>
      </c>
      <c r="O163" t="n">
        <v>1</v>
      </c>
      <c r="P163" t="n">
        <v>1</v>
      </c>
      <c r="Q163" t="n">
        <v>2</v>
      </c>
      <c r="R163" s="2" t="inlineStr">
        <is>
          <t>Ryl
Ögonpyrola</t>
        </is>
      </c>
      <c r="S163">
        <f>HYPERLINK("https://klasma.github.io/Logging_1290/artfynd/A 10017-2024 artfynd.xlsx", "A 10017-2024")</f>
        <v/>
      </c>
      <c r="T163">
        <f>HYPERLINK("https://klasma.github.io/Logging_1290/kartor/A 10017-2024 karta.png", "A 10017-2024")</f>
        <v/>
      </c>
      <c r="V163">
        <f>HYPERLINK("https://klasma.github.io/Logging_1290/klagomål/A 10017-2024 FSC-klagomål.docx", "A 10017-2024")</f>
        <v/>
      </c>
      <c r="W163">
        <f>HYPERLINK("https://klasma.github.io/Logging_1290/klagomålsmail/A 10017-2024 FSC-klagomål mail.docx", "A 10017-2024")</f>
        <v/>
      </c>
      <c r="X163">
        <f>HYPERLINK("https://klasma.github.io/Logging_1290/tillsyn/A 10017-2024 tillsynsbegäran.docx", "A 10017-2024")</f>
        <v/>
      </c>
      <c r="Y163">
        <f>HYPERLINK("https://klasma.github.io/Logging_1290/tillsynsmail/A 10017-2024 tillsynsbegäran mail.docx", "A 10017-2024")</f>
        <v/>
      </c>
    </row>
    <row r="164" ht="15" customHeight="1">
      <c r="A164" t="inlineStr">
        <is>
          <t>A 51368-2025</t>
        </is>
      </c>
      <c r="B164" s="1" t="n">
        <v>45950.44706018519</v>
      </c>
      <c r="C164" s="1" t="n">
        <v>45962</v>
      </c>
      <c r="D164" t="inlineStr">
        <is>
          <t>SKÅNE LÄN</t>
        </is>
      </c>
      <c r="E164" t="inlineStr">
        <is>
          <t>SJÖBO</t>
        </is>
      </c>
      <c r="G164" t="n">
        <v>2</v>
      </c>
      <c r="H164" t="n">
        <v>2</v>
      </c>
      <c r="I164" t="n">
        <v>0</v>
      </c>
      <c r="J164" t="n">
        <v>0</v>
      </c>
      <c r="K164" t="n">
        <v>0</v>
      </c>
      <c r="L164" t="n">
        <v>0</v>
      </c>
      <c r="M164" t="n">
        <v>0</v>
      </c>
      <c r="N164" t="n">
        <v>0</v>
      </c>
      <c r="O164" t="n">
        <v>0</v>
      </c>
      <c r="P164" t="n">
        <v>0</v>
      </c>
      <c r="Q164" t="n">
        <v>2</v>
      </c>
      <c r="R164" s="2" t="inlineStr">
        <is>
          <t>Större vattensalamander
Mindre vattensalamander</t>
        </is>
      </c>
      <c r="S164">
        <f>HYPERLINK("https://klasma.github.io/Logging_1265/artfynd/A 51368-2025 artfynd.xlsx", "A 51368-2025")</f>
        <v/>
      </c>
      <c r="T164">
        <f>HYPERLINK("https://klasma.github.io/Logging_1265/kartor/A 51368-2025 karta.png", "A 51368-2025")</f>
        <v/>
      </c>
      <c r="V164">
        <f>HYPERLINK("https://klasma.github.io/Logging_1265/klagomål/A 51368-2025 FSC-klagomål.docx", "A 51368-2025")</f>
        <v/>
      </c>
      <c r="W164">
        <f>HYPERLINK("https://klasma.github.io/Logging_1265/klagomålsmail/A 51368-2025 FSC-klagomål mail.docx", "A 51368-2025")</f>
        <v/>
      </c>
      <c r="X164">
        <f>HYPERLINK("https://klasma.github.io/Logging_1265/tillsyn/A 51368-2025 tillsynsbegäran.docx", "A 51368-2025")</f>
        <v/>
      </c>
      <c r="Y164">
        <f>HYPERLINK("https://klasma.github.io/Logging_1265/tillsynsmail/A 51368-2025 tillsynsbegäran mail.docx", "A 51368-2025")</f>
        <v/>
      </c>
    </row>
    <row r="165" ht="15" customHeight="1">
      <c r="A165" t="inlineStr">
        <is>
          <t>A 34334-2025</t>
        </is>
      </c>
      <c r="B165" s="1" t="n">
        <v>45846</v>
      </c>
      <c r="C165" s="1" t="n">
        <v>45962</v>
      </c>
      <c r="D165" t="inlineStr">
        <is>
          <t>SKÅNE LÄN</t>
        </is>
      </c>
      <c r="E165" t="inlineStr">
        <is>
          <t>ÖSTRA GÖINGE</t>
        </is>
      </c>
      <c r="G165" t="n">
        <v>4.4</v>
      </c>
      <c r="H165" t="n">
        <v>1</v>
      </c>
      <c r="I165" t="n">
        <v>0</v>
      </c>
      <c r="J165" t="n">
        <v>1</v>
      </c>
      <c r="K165" t="n">
        <v>0</v>
      </c>
      <c r="L165" t="n">
        <v>1</v>
      </c>
      <c r="M165" t="n">
        <v>0</v>
      </c>
      <c r="N165" t="n">
        <v>0</v>
      </c>
      <c r="O165" t="n">
        <v>2</v>
      </c>
      <c r="P165" t="n">
        <v>1</v>
      </c>
      <c r="Q165" t="n">
        <v>2</v>
      </c>
      <c r="R165" s="2" t="inlineStr">
        <is>
          <t>Hieracium acriserratum
Svartvit flugsnappare</t>
        </is>
      </c>
      <c r="S165">
        <f>HYPERLINK("https://klasma.github.io/Logging_1256/artfynd/A 34334-2025 artfynd.xlsx", "A 34334-2025")</f>
        <v/>
      </c>
      <c r="T165">
        <f>HYPERLINK("https://klasma.github.io/Logging_1256/kartor/A 34334-2025 karta.png", "A 34334-2025")</f>
        <v/>
      </c>
      <c r="V165">
        <f>HYPERLINK("https://klasma.github.io/Logging_1256/klagomål/A 34334-2025 FSC-klagomål.docx", "A 34334-2025")</f>
        <v/>
      </c>
      <c r="W165">
        <f>HYPERLINK("https://klasma.github.io/Logging_1256/klagomålsmail/A 34334-2025 FSC-klagomål mail.docx", "A 34334-2025")</f>
        <v/>
      </c>
      <c r="X165">
        <f>HYPERLINK("https://klasma.github.io/Logging_1256/tillsyn/A 34334-2025 tillsynsbegäran.docx", "A 34334-2025")</f>
        <v/>
      </c>
      <c r="Y165">
        <f>HYPERLINK("https://klasma.github.io/Logging_1256/tillsynsmail/A 34334-2025 tillsynsbegäran mail.docx", "A 34334-2025")</f>
        <v/>
      </c>
      <c r="Z165">
        <f>HYPERLINK("https://klasma.github.io/Logging_1256/fåglar/A 34334-2025 prioriterade fågelarter.docx", "A 34334-2025")</f>
        <v/>
      </c>
    </row>
    <row r="166" ht="15" customHeight="1">
      <c r="A166" t="inlineStr">
        <is>
          <t>A 35525-2025</t>
        </is>
      </c>
      <c r="B166" s="1" t="n">
        <v>45856</v>
      </c>
      <c r="C166" s="1" t="n">
        <v>45962</v>
      </c>
      <c r="D166" t="inlineStr">
        <is>
          <t>SKÅNE LÄN</t>
        </is>
      </c>
      <c r="E166" t="inlineStr">
        <is>
          <t>ÖSTRA GÖINGE</t>
        </is>
      </c>
      <c r="G166" t="n">
        <v>3.1</v>
      </c>
      <c r="H166" t="n">
        <v>0</v>
      </c>
      <c r="I166" t="n">
        <v>2</v>
      </c>
      <c r="J166" t="n">
        <v>0</v>
      </c>
      <c r="K166" t="n">
        <v>0</v>
      </c>
      <c r="L166" t="n">
        <v>0</v>
      </c>
      <c r="M166" t="n">
        <v>0</v>
      </c>
      <c r="N166" t="n">
        <v>0</v>
      </c>
      <c r="O166" t="n">
        <v>0</v>
      </c>
      <c r="P166" t="n">
        <v>0</v>
      </c>
      <c r="Q166" t="n">
        <v>2</v>
      </c>
      <c r="R166" s="2" t="inlineStr">
        <is>
          <t>Platt fjädermossa
Västlig hakmossa</t>
        </is>
      </c>
      <c r="S166">
        <f>HYPERLINK("https://klasma.github.io/Logging_1256/artfynd/A 35525-2025 artfynd.xlsx", "A 35525-2025")</f>
        <v/>
      </c>
      <c r="T166">
        <f>HYPERLINK("https://klasma.github.io/Logging_1256/kartor/A 35525-2025 karta.png", "A 35525-2025")</f>
        <v/>
      </c>
      <c r="V166">
        <f>HYPERLINK("https://klasma.github.io/Logging_1256/klagomål/A 35525-2025 FSC-klagomål.docx", "A 35525-2025")</f>
        <v/>
      </c>
      <c r="W166">
        <f>HYPERLINK("https://klasma.github.io/Logging_1256/klagomålsmail/A 35525-2025 FSC-klagomål mail.docx", "A 35525-2025")</f>
        <v/>
      </c>
      <c r="X166">
        <f>HYPERLINK("https://klasma.github.io/Logging_1256/tillsyn/A 35525-2025 tillsynsbegäran.docx", "A 35525-2025")</f>
        <v/>
      </c>
      <c r="Y166">
        <f>HYPERLINK("https://klasma.github.io/Logging_1256/tillsynsmail/A 35525-2025 tillsynsbegäran mail.docx", "A 35525-2025")</f>
        <v/>
      </c>
    </row>
    <row r="167" ht="15" customHeight="1">
      <c r="A167" t="inlineStr">
        <is>
          <t>A 64373-2020</t>
        </is>
      </c>
      <c r="B167" s="1" t="n">
        <v>44168</v>
      </c>
      <c r="C167" s="1" t="n">
        <v>45962</v>
      </c>
      <c r="D167" t="inlineStr">
        <is>
          <t>SKÅNE LÄN</t>
        </is>
      </c>
      <c r="E167" t="inlineStr">
        <is>
          <t>SVALÖV</t>
        </is>
      </c>
      <c r="F167" t="inlineStr">
        <is>
          <t>Kyrkan</t>
        </is>
      </c>
      <c r="G167" t="n">
        <v>5.3</v>
      </c>
      <c r="H167" t="n">
        <v>1</v>
      </c>
      <c r="I167" t="n">
        <v>0</v>
      </c>
      <c r="J167" t="n">
        <v>1</v>
      </c>
      <c r="K167" t="n">
        <v>0</v>
      </c>
      <c r="L167" t="n">
        <v>0</v>
      </c>
      <c r="M167" t="n">
        <v>0</v>
      </c>
      <c r="N167" t="n">
        <v>0</v>
      </c>
      <c r="O167" t="n">
        <v>1</v>
      </c>
      <c r="P167" t="n">
        <v>0</v>
      </c>
      <c r="Q167" t="n">
        <v>1</v>
      </c>
      <c r="R167" s="2" t="inlineStr">
        <is>
          <t>Mindre hackspett</t>
        </is>
      </c>
      <c r="S167">
        <f>HYPERLINK("https://klasma.github.io/Logging_1214/artfynd/A 64373-2020 artfynd.xlsx", "A 64373-2020")</f>
        <v/>
      </c>
      <c r="T167">
        <f>HYPERLINK("https://klasma.github.io/Logging_1214/kartor/A 64373-2020 karta.png", "A 64373-2020")</f>
        <v/>
      </c>
      <c r="V167">
        <f>HYPERLINK("https://klasma.github.io/Logging_1214/klagomål/A 64373-2020 FSC-klagomål.docx", "A 64373-2020")</f>
        <v/>
      </c>
      <c r="W167">
        <f>HYPERLINK("https://klasma.github.io/Logging_1214/klagomålsmail/A 64373-2020 FSC-klagomål mail.docx", "A 64373-2020")</f>
        <v/>
      </c>
      <c r="X167">
        <f>HYPERLINK("https://klasma.github.io/Logging_1214/tillsyn/A 64373-2020 tillsynsbegäran.docx", "A 64373-2020")</f>
        <v/>
      </c>
      <c r="Y167">
        <f>HYPERLINK("https://klasma.github.io/Logging_1214/tillsynsmail/A 64373-2020 tillsynsbegäran mail.docx", "A 64373-2020")</f>
        <v/>
      </c>
      <c r="Z167">
        <f>HYPERLINK("https://klasma.github.io/Logging_1214/fåglar/A 64373-2020 prioriterade fågelarter.docx", "A 64373-2020")</f>
        <v/>
      </c>
    </row>
    <row r="168" ht="15" customHeight="1">
      <c r="A168" t="inlineStr">
        <is>
          <t>A 38643-2022</t>
        </is>
      </c>
      <c r="B168" s="1" t="n">
        <v>44813.65914351852</v>
      </c>
      <c r="C168" s="1" t="n">
        <v>45962</v>
      </c>
      <c r="D168" t="inlineStr">
        <is>
          <t>SKÅNE LÄN</t>
        </is>
      </c>
      <c r="E168" t="inlineStr">
        <is>
          <t>OSBY</t>
        </is>
      </c>
      <c r="F168" t="inlineStr">
        <is>
          <t>Kyrkan</t>
        </is>
      </c>
      <c r="G168" t="n">
        <v>9.5</v>
      </c>
      <c r="H168" t="n">
        <v>0</v>
      </c>
      <c r="I168" t="n">
        <v>1</v>
      </c>
      <c r="J168" t="n">
        <v>0</v>
      </c>
      <c r="K168" t="n">
        <v>0</v>
      </c>
      <c r="L168" t="n">
        <v>0</v>
      </c>
      <c r="M168" t="n">
        <v>0</v>
      </c>
      <c r="N168" t="n">
        <v>0</v>
      </c>
      <c r="O168" t="n">
        <v>0</v>
      </c>
      <c r="P168" t="n">
        <v>0</v>
      </c>
      <c r="Q168" t="n">
        <v>1</v>
      </c>
      <c r="R168" s="2" t="inlineStr">
        <is>
          <t>Havstulpanlav</t>
        </is>
      </c>
      <c r="S168">
        <f>HYPERLINK("https://klasma.github.io/Logging_1273/artfynd/A 38643-2022 artfynd.xlsx", "A 38643-2022")</f>
        <v/>
      </c>
      <c r="T168">
        <f>HYPERLINK("https://klasma.github.io/Logging_1273/kartor/A 38643-2022 karta.png", "A 38643-2022")</f>
        <v/>
      </c>
      <c r="V168">
        <f>HYPERLINK("https://klasma.github.io/Logging_1273/klagomål/A 38643-2022 FSC-klagomål.docx", "A 38643-2022")</f>
        <v/>
      </c>
      <c r="W168">
        <f>HYPERLINK("https://klasma.github.io/Logging_1273/klagomålsmail/A 38643-2022 FSC-klagomål mail.docx", "A 38643-2022")</f>
        <v/>
      </c>
      <c r="X168">
        <f>HYPERLINK("https://klasma.github.io/Logging_1273/tillsyn/A 38643-2022 tillsynsbegäran.docx", "A 38643-2022")</f>
        <v/>
      </c>
      <c r="Y168">
        <f>HYPERLINK("https://klasma.github.io/Logging_1273/tillsynsmail/A 38643-2022 tillsynsbegäran mail.docx", "A 38643-2022")</f>
        <v/>
      </c>
    </row>
    <row r="169" ht="15" customHeight="1">
      <c r="A169" t="inlineStr">
        <is>
          <t>A 22965-2021</t>
        </is>
      </c>
      <c r="B169" s="1" t="n">
        <v>44328</v>
      </c>
      <c r="C169" s="1" t="n">
        <v>45962</v>
      </c>
      <c r="D169" t="inlineStr">
        <is>
          <t>SKÅNE LÄN</t>
        </is>
      </c>
      <c r="E169" t="inlineStr">
        <is>
          <t>KRISTIANSTAD</t>
        </is>
      </c>
      <c r="G169" t="n">
        <v>1</v>
      </c>
      <c r="H169" t="n">
        <v>1</v>
      </c>
      <c r="I169" t="n">
        <v>0</v>
      </c>
      <c r="J169" t="n">
        <v>0</v>
      </c>
      <c r="K169" t="n">
        <v>0</v>
      </c>
      <c r="L169" t="n">
        <v>0</v>
      </c>
      <c r="M169" t="n">
        <v>0</v>
      </c>
      <c r="N169" t="n">
        <v>0</v>
      </c>
      <c r="O169" t="n">
        <v>0</v>
      </c>
      <c r="P169" t="n">
        <v>0</v>
      </c>
      <c r="Q169" t="n">
        <v>1</v>
      </c>
      <c r="R169" s="2" t="inlineStr">
        <is>
          <t>Kungsfågel</t>
        </is>
      </c>
      <c r="S169">
        <f>HYPERLINK("https://klasma.github.io/Logging_1290/artfynd/A 22965-2021 artfynd.xlsx", "A 22965-2021")</f>
        <v/>
      </c>
      <c r="T169">
        <f>HYPERLINK("https://klasma.github.io/Logging_1290/kartor/A 22965-2021 karta.png", "A 22965-2021")</f>
        <v/>
      </c>
      <c r="V169">
        <f>HYPERLINK("https://klasma.github.io/Logging_1290/klagomål/A 22965-2021 FSC-klagomål.docx", "A 22965-2021")</f>
        <v/>
      </c>
      <c r="W169">
        <f>HYPERLINK("https://klasma.github.io/Logging_1290/klagomålsmail/A 22965-2021 FSC-klagomål mail.docx", "A 22965-2021")</f>
        <v/>
      </c>
      <c r="X169">
        <f>HYPERLINK("https://klasma.github.io/Logging_1290/tillsyn/A 22965-2021 tillsynsbegäran.docx", "A 22965-2021")</f>
        <v/>
      </c>
      <c r="Y169">
        <f>HYPERLINK("https://klasma.github.io/Logging_1290/tillsynsmail/A 22965-2021 tillsynsbegäran mail.docx", "A 22965-2021")</f>
        <v/>
      </c>
      <c r="Z169">
        <f>HYPERLINK("https://klasma.github.io/Logging_1290/fåglar/A 22965-2021 prioriterade fågelarter.docx", "A 22965-2021")</f>
        <v/>
      </c>
    </row>
    <row r="170" ht="15" customHeight="1">
      <c r="A170" t="inlineStr">
        <is>
          <t>A 22979-2021</t>
        </is>
      </c>
      <c r="B170" s="1" t="n">
        <v>44327</v>
      </c>
      <c r="C170" s="1" t="n">
        <v>45962</v>
      </c>
      <c r="D170" t="inlineStr">
        <is>
          <t>SKÅNE LÄN</t>
        </is>
      </c>
      <c r="E170" t="inlineStr">
        <is>
          <t>ÖSTRA GÖINGE</t>
        </is>
      </c>
      <c r="G170" t="n">
        <v>6.1</v>
      </c>
      <c r="H170" t="n">
        <v>0</v>
      </c>
      <c r="I170" t="n">
        <v>1</v>
      </c>
      <c r="J170" t="n">
        <v>0</v>
      </c>
      <c r="K170" t="n">
        <v>0</v>
      </c>
      <c r="L170" t="n">
        <v>0</v>
      </c>
      <c r="M170" t="n">
        <v>0</v>
      </c>
      <c r="N170" t="n">
        <v>0</v>
      </c>
      <c r="O170" t="n">
        <v>0</v>
      </c>
      <c r="P170" t="n">
        <v>0</v>
      </c>
      <c r="Q170" t="n">
        <v>1</v>
      </c>
      <c r="R170" s="2" t="inlineStr">
        <is>
          <t>Havstulpanlav</t>
        </is>
      </c>
      <c r="S170">
        <f>HYPERLINK("https://klasma.github.io/Logging_1256/artfynd/A 22979-2021 artfynd.xlsx", "A 22979-2021")</f>
        <v/>
      </c>
      <c r="T170">
        <f>HYPERLINK("https://klasma.github.io/Logging_1256/kartor/A 22979-2021 karta.png", "A 22979-2021")</f>
        <v/>
      </c>
      <c r="V170">
        <f>HYPERLINK("https://klasma.github.io/Logging_1256/klagomål/A 22979-2021 FSC-klagomål.docx", "A 22979-2021")</f>
        <v/>
      </c>
      <c r="W170">
        <f>HYPERLINK("https://klasma.github.io/Logging_1256/klagomålsmail/A 22979-2021 FSC-klagomål mail.docx", "A 22979-2021")</f>
        <v/>
      </c>
      <c r="X170">
        <f>HYPERLINK("https://klasma.github.io/Logging_1256/tillsyn/A 22979-2021 tillsynsbegäran.docx", "A 22979-2021")</f>
        <v/>
      </c>
      <c r="Y170">
        <f>HYPERLINK("https://klasma.github.io/Logging_1256/tillsynsmail/A 22979-2021 tillsynsbegäran mail.docx", "A 22979-2021")</f>
        <v/>
      </c>
    </row>
    <row r="171" ht="15" customHeight="1">
      <c r="A171" t="inlineStr">
        <is>
          <t>A 29858-2022</t>
        </is>
      </c>
      <c r="B171" s="1" t="n">
        <v>44756</v>
      </c>
      <c r="C171" s="1" t="n">
        <v>45962</v>
      </c>
      <c r="D171" t="inlineStr">
        <is>
          <t>SKÅNE LÄN</t>
        </is>
      </c>
      <c r="E171" t="inlineStr">
        <is>
          <t>YSTAD</t>
        </is>
      </c>
      <c r="G171" t="n">
        <v>0.5</v>
      </c>
      <c r="H171" t="n">
        <v>0</v>
      </c>
      <c r="I171" t="n">
        <v>0</v>
      </c>
      <c r="J171" t="n">
        <v>1</v>
      </c>
      <c r="K171" t="n">
        <v>0</v>
      </c>
      <c r="L171" t="n">
        <v>0</v>
      </c>
      <c r="M171" t="n">
        <v>0</v>
      </c>
      <c r="N171" t="n">
        <v>0</v>
      </c>
      <c r="O171" t="n">
        <v>1</v>
      </c>
      <c r="P171" t="n">
        <v>0</v>
      </c>
      <c r="Q171" t="n">
        <v>1</v>
      </c>
      <c r="R171" s="2" t="inlineStr">
        <is>
          <t>Igelkott</t>
        </is>
      </c>
      <c r="S171">
        <f>HYPERLINK("https://klasma.github.io/Logging_1286/artfynd/A 29858-2022 artfynd.xlsx", "A 29858-2022")</f>
        <v/>
      </c>
      <c r="T171">
        <f>HYPERLINK("https://klasma.github.io/Logging_1286/kartor/A 29858-2022 karta.png", "A 29858-2022")</f>
        <v/>
      </c>
      <c r="V171">
        <f>HYPERLINK("https://klasma.github.io/Logging_1286/klagomål/A 29858-2022 FSC-klagomål.docx", "A 29858-2022")</f>
        <v/>
      </c>
      <c r="W171">
        <f>HYPERLINK("https://klasma.github.io/Logging_1286/klagomålsmail/A 29858-2022 FSC-klagomål mail.docx", "A 29858-2022")</f>
        <v/>
      </c>
      <c r="X171">
        <f>HYPERLINK("https://klasma.github.io/Logging_1286/tillsyn/A 29858-2022 tillsynsbegäran.docx", "A 29858-2022")</f>
        <v/>
      </c>
      <c r="Y171">
        <f>HYPERLINK("https://klasma.github.io/Logging_1286/tillsynsmail/A 29858-2022 tillsynsbegäran mail.docx", "A 29858-2022")</f>
        <v/>
      </c>
    </row>
    <row r="172" ht="15" customHeight="1">
      <c r="A172" t="inlineStr">
        <is>
          <t>A 36038-2022</t>
        </is>
      </c>
      <c r="B172" s="1" t="n">
        <v>44802</v>
      </c>
      <c r="C172" s="1" t="n">
        <v>45962</v>
      </c>
      <c r="D172" t="inlineStr">
        <is>
          <t>SKÅNE LÄN</t>
        </is>
      </c>
      <c r="E172" t="inlineStr">
        <is>
          <t>ÄNGELHOLM</t>
        </is>
      </c>
      <c r="G172" t="n">
        <v>1.7</v>
      </c>
      <c r="H172" t="n">
        <v>0</v>
      </c>
      <c r="I172" t="n">
        <v>1</v>
      </c>
      <c r="J172" t="n">
        <v>0</v>
      </c>
      <c r="K172" t="n">
        <v>0</v>
      </c>
      <c r="L172" t="n">
        <v>0</v>
      </c>
      <c r="M172" t="n">
        <v>0</v>
      </c>
      <c r="N172" t="n">
        <v>0</v>
      </c>
      <c r="O172" t="n">
        <v>0</v>
      </c>
      <c r="P172" t="n">
        <v>0</v>
      </c>
      <c r="Q172" t="n">
        <v>1</v>
      </c>
      <c r="R172" s="2" t="inlineStr">
        <is>
          <t>Västlig hakmossa</t>
        </is>
      </c>
      <c r="S172">
        <f>HYPERLINK("https://klasma.github.io/Logging_1292/artfynd/A 36038-2022 artfynd.xlsx", "A 36038-2022")</f>
        <v/>
      </c>
      <c r="T172">
        <f>HYPERLINK("https://klasma.github.io/Logging_1292/kartor/A 36038-2022 karta.png", "A 36038-2022")</f>
        <v/>
      </c>
      <c r="V172">
        <f>HYPERLINK("https://klasma.github.io/Logging_1292/klagomål/A 36038-2022 FSC-klagomål.docx", "A 36038-2022")</f>
        <v/>
      </c>
      <c r="W172">
        <f>HYPERLINK("https://klasma.github.io/Logging_1292/klagomålsmail/A 36038-2022 FSC-klagomål mail.docx", "A 36038-2022")</f>
        <v/>
      </c>
      <c r="X172">
        <f>HYPERLINK("https://klasma.github.io/Logging_1292/tillsyn/A 36038-2022 tillsynsbegäran.docx", "A 36038-2022")</f>
        <v/>
      </c>
      <c r="Y172">
        <f>HYPERLINK("https://klasma.github.io/Logging_1292/tillsynsmail/A 36038-2022 tillsynsbegäran mail.docx", "A 36038-2022")</f>
        <v/>
      </c>
    </row>
    <row r="173" ht="15" customHeight="1">
      <c r="A173" t="inlineStr">
        <is>
          <t>A 44327-2021</t>
        </is>
      </c>
      <c r="B173" s="1" t="n">
        <v>44434</v>
      </c>
      <c r="C173" s="1" t="n">
        <v>45962</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23466-2022</t>
        </is>
      </c>
      <c r="B174" s="1" t="n">
        <v>44721</v>
      </c>
      <c r="C174" s="1" t="n">
        <v>45962</v>
      </c>
      <c r="D174" t="inlineStr">
        <is>
          <t>SKÅNE LÄN</t>
        </is>
      </c>
      <c r="E174" t="inlineStr">
        <is>
          <t>TOMELILLA</t>
        </is>
      </c>
      <c r="F174" t="inlineStr">
        <is>
          <t>Övriga Aktiebolag</t>
        </is>
      </c>
      <c r="G174" t="n">
        <v>6.3</v>
      </c>
      <c r="H174" t="n">
        <v>0</v>
      </c>
      <c r="I174" t="n">
        <v>0</v>
      </c>
      <c r="J174" t="n">
        <v>1</v>
      </c>
      <c r="K174" t="n">
        <v>0</v>
      </c>
      <c r="L174" t="n">
        <v>0</v>
      </c>
      <c r="M174" t="n">
        <v>0</v>
      </c>
      <c r="N174" t="n">
        <v>0</v>
      </c>
      <c r="O174" t="n">
        <v>1</v>
      </c>
      <c r="P174" t="n">
        <v>0</v>
      </c>
      <c r="Q174" t="n">
        <v>1</v>
      </c>
      <c r="R174" s="2" t="inlineStr">
        <is>
          <t>Skogslysing</t>
        </is>
      </c>
      <c r="S174">
        <f>HYPERLINK("https://klasma.github.io/Logging_1270/artfynd/A 23466-2022 artfynd.xlsx", "A 23466-2022")</f>
        <v/>
      </c>
      <c r="T174">
        <f>HYPERLINK("https://klasma.github.io/Logging_1270/kartor/A 23466-2022 karta.png", "A 23466-2022")</f>
        <v/>
      </c>
      <c r="V174">
        <f>HYPERLINK("https://klasma.github.io/Logging_1270/klagomål/A 23466-2022 FSC-klagomål.docx", "A 23466-2022")</f>
        <v/>
      </c>
      <c r="W174">
        <f>HYPERLINK("https://klasma.github.io/Logging_1270/klagomålsmail/A 23466-2022 FSC-klagomål mail.docx", "A 23466-2022")</f>
        <v/>
      </c>
      <c r="X174">
        <f>HYPERLINK("https://klasma.github.io/Logging_1270/tillsyn/A 23466-2022 tillsynsbegäran.docx", "A 23466-2022")</f>
        <v/>
      </c>
      <c r="Y174">
        <f>HYPERLINK("https://klasma.github.io/Logging_1270/tillsynsmail/A 23466-2022 tillsynsbegäran mail.docx", "A 23466-2022")</f>
        <v/>
      </c>
    </row>
    <row r="175" ht="15" customHeight="1">
      <c r="A175" t="inlineStr">
        <is>
          <t>A 21568-2021</t>
        </is>
      </c>
      <c r="B175" s="1" t="n">
        <v>44314</v>
      </c>
      <c r="C175" s="1" t="n">
        <v>45962</v>
      </c>
      <c r="D175" t="inlineStr">
        <is>
          <t>SKÅNE LÄN</t>
        </is>
      </c>
      <c r="E175" t="inlineStr">
        <is>
          <t>KRISTIANSTAD</t>
        </is>
      </c>
      <c r="G175" t="n">
        <v>18.4</v>
      </c>
      <c r="H175" t="n">
        <v>0</v>
      </c>
      <c r="I175" t="n">
        <v>1</v>
      </c>
      <c r="J175" t="n">
        <v>0</v>
      </c>
      <c r="K175" t="n">
        <v>0</v>
      </c>
      <c r="L175" t="n">
        <v>0</v>
      </c>
      <c r="M175" t="n">
        <v>0</v>
      </c>
      <c r="N175" t="n">
        <v>0</v>
      </c>
      <c r="O175" t="n">
        <v>0</v>
      </c>
      <c r="P175" t="n">
        <v>0</v>
      </c>
      <c r="Q175" t="n">
        <v>1</v>
      </c>
      <c r="R175" s="2" t="inlineStr">
        <is>
          <t>Kransrams</t>
        </is>
      </c>
      <c r="S175">
        <f>HYPERLINK("https://klasma.github.io/Logging_1290/artfynd/A 21568-2021 artfynd.xlsx", "A 21568-2021")</f>
        <v/>
      </c>
      <c r="T175">
        <f>HYPERLINK("https://klasma.github.io/Logging_1290/kartor/A 21568-2021 karta.png", "A 21568-2021")</f>
        <v/>
      </c>
      <c r="V175">
        <f>HYPERLINK("https://klasma.github.io/Logging_1290/klagomål/A 21568-2021 FSC-klagomål.docx", "A 21568-2021")</f>
        <v/>
      </c>
      <c r="W175">
        <f>HYPERLINK("https://klasma.github.io/Logging_1290/klagomålsmail/A 21568-2021 FSC-klagomål mail.docx", "A 21568-2021")</f>
        <v/>
      </c>
      <c r="X175">
        <f>HYPERLINK("https://klasma.github.io/Logging_1290/tillsyn/A 21568-2021 tillsynsbegäran.docx", "A 21568-2021")</f>
        <v/>
      </c>
      <c r="Y175">
        <f>HYPERLINK("https://klasma.github.io/Logging_1290/tillsynsmail/A 21568-2021 tillsynsbegäran mail.docx", "A 21568-2021")</f>
        <v/>
      </c>
    </row>
    <row r="176" ht="15" customHeight="1">
      <c r="A176" t="inlineStr">
        <is>
          <t>A 47612-2022</t>
        </is>
      </c>
      <c r="B176" s="1" t="n">
        <v>44852</v>
      </c>
      <c r="C176" s="1" t="n">
        <v>45962</v>
      </c>
      <c r="D176" t="inlineStr">
        <is>
          <t>SKÅNE LÄN</t>
        </is>
      </c>
      <c r="E176" t="inlineStr">
        <is>
          <t>OSBY</t>
        </is>
      </c>
      <c r="F176" t="inlineStr">
        <is>
          <t>Kyrkan</t>
        </is>
      </c>
      <c r="G176" t="n">
        <v>16.4</v>
      </c>
      <c r="H176" t="n">
        <v>1</v>
      </c>
      <c r="I176" t="n">
        <v>0</v>
      </c>
      <c r="J176" t="n">
        <v>1</v>
      </c>
      <c r="K176" t="n">
        <v>0</v>
      </c>
      <c r="L176" t="n">
        <v>0</v>
      </c>
      <c r="M176" t="n">
        <v>0</v>
      </c>
      <c r="N176" t="n">
        <v>0</v>
      </c>
      <c r="O176" t="n">
        <v>1</v>
      </c>
      <c r="P176" t="n">
        <v>0</v>
      </c>
      <c r="Q176" t="n">
        <v>1</v>
      </c>
      <c r="R176" s="2" t="inlineStr">
        <is>
          <t>Ärtsångare</t>
        </is>
      </c>
      <c r="S176">
        <f>HYPERLINK("https://klasma.github.io/Logging_1273/artfynd/A 47612-2022 artfynd.xlsx", "A 47612-2022")</f>
        <v/>
      </c>
      <c r="T176">
        <f>HYPERLINK("https://klasma.github.io/Logging_1273/kartor/A 47612-2022 karta.png", "A 47612-2022")</f>
        <v/>
      </c>
      <c r="V176">
        <f>HYPERLINK("https://klasma.github.io/Logging_1273/klagomål/A 47612-2022 FSC-klagomål.docx", "A 47612-2022")</f>
        <v/>
      </c>
      <c r="W176">
        <f>HYPERLINK("https://klasma.github.io/Logging_1273/klagomålsmail/A 47612-2022 FSC-klagomål mail.docx", "A 47612-2022")</f>
        <v/>
      </c>
      <c r="X176">
        <f>HYPERLINK("https://klasma.github.io/Logging_1273/tillsyn/A 47612-2022 tillsynsbegäran.docx", "A 47612-2022")</f>
        <v/>
      </c>
      <c r="Y176">
        <f>HYPERLINK("https://klasma.github.io/Logging_1273/tillsynsmail/A 47612-2022 tillsynsbegäran mail.docx", "A 47612-2022")</f>
        <v/>
      </c>
      <c r="Z176">
        <f>HYPERLINK("https://klasma.github.io/Logging_1273/fåglar/A 47612-2022 prioriterade fågelarter.docx", "A 47612-2022")</f>
        <v/>
      </c>
    </row>
    <row r="177" ht="15" customHeight="1">
      <c r="A177" t="inlineStr">
        <is>
          <t>A 15511-2021</t>
        </is>
      </c>
      <c r="B177" s="1" t="n">
        <v>44285.52417824074</v>
      </c>
      <c r="C177" s="1" t="n">
        <v>45962</v>
      </c>
      <c r="D177" t="inlineStr">
        <is>
          <t>SKÅNE LÄN</t>
        </is>
      </c>
      <c r="E177" t="inlineStr">
        <is>
          <t>OSBY</t>
        </is>
      </c>
      <c r="G177" t="n">
        <v>1.1</v>
      </c>
      <c r="H177" t="n">
        <v>1</v>
      </c>
      <c r="I177" t="n">
        <v>0</v>
      </c>
      <c r="J177" t="n">
        <v>0</v>
      </c>
      <c r="K177" t="n">
        <v>0</v>
      </c>
      <c r="L177" t="n">
        <v>0</v>
      </c>
      <c r="M177" t="n">
        <v>0</v>
      </c>
      <c r="N177" t="n">
        <v>0</v>
      </c>
      <c r="O177" t="n">
        <v>0</v>
      </c>
      <c r="P177" t="n">
        <v>0</v>
      </c>
      <c r="Q177" t="n">
        <v>1</v>
      </c>
      <c r="R177" s="2" t="inlineStr">
        <is>
          <t>Kungsfågel</t>
        </is>
      </c>
      <c r="S177">
        <f>HYPERLINK("https://klasma.github.io/Logging_1273/artfynd/A 15511-2021 artfynd.xlsx", "A 15511-2021")</f>
        <v/>
      </c>
      <c r="T177">
        <f>HYPERLINK("https://klasma.github.io/Logging_1273/kartor/A 15511-2021 karta.png", "A 15511-2021")</f>
        <v/>
      </c>
      <c r="V177">
        <f>HYPERLINK("https://klasma.github.io/Logging_1273/klagomål/A 15511-2021 FSC-klagomål.docx", "A 15511-2021")</f>
        <v/>
      </c>
      <c r="W177">
        <f>HYPERLINK("https://klasma.github.io/Logging_1273/klagomålsmail/A 15511-2021 FSC-klagomål mail.docx", "A 15511-2021")</f>
        <v/>
      </c>
      <c r="X177">
        <f>HYPERLINK("https://klasma.github.io/Logging_1273/tillsyn/A 15511-2021 tillsynsbegäran.docx", "A 15511-2021")</f>
        <v/>
      </c>
      <c r="Y177">
        <f>HYPERLINK("https://klasma.github.io/Logging_1273/tillsynsmail/A 15511-2021 tillsynsbegäran mail.docx", "A 15511-2021")</f>
        <v/>
      </c>
      <c r="Z177">
        <f>HYPERLINK("https://klasma.github.io/Logging_1273/fåglar/A 15511-2021 prioriterade fågelarter.docx", "A 15511-2021")</f>
        <v/>
      </c>
    </row>
    <row r="178" ht="15" customHeight="1">
      <c r="A178" t="inlineStr">
        <is>
          <t>A 27327-2022</t>
        </is>
      </c>
      <c r="B178" s="1" t="n">
        <v>44742</v>
      </c>
      <c r="C178" s="1" t="n">
        <v>45962</v>
      </c>
      <c r="D178" t="inlineStr">
        <is>
          <t>SKÅNE LÄN</t>
        </is>
      </c>
      <c r="E178" t="inlineStr">
        <is>
          <t>ÄNGELHOLM</t>
        </is>
      </c>
      <c r="G178" t="n">
        <v>0.6</v>
      </c>
      <c r="H178" t="n">
        <v>0</v>
      </c>
      <c r="I178" t="n">
        <v>0</v>
      </c>
      <c r="J178" t="n">
        <v>0</v>
      </c>
      <c r="K178" t="n">
        <v>1</v>
      </c>
      <c r="L178" t="n">
        <v>0</v>
      </c>
      <c r="M178" t="n">
        <v>0</v>
      </c>
      <c r="N178" t="n">
        <v>0</v>
      </c>
      <c r="O178" t="n">
        <v>1</v>
      </c>
      <c r="P178" t="n">
        <v>1</v>
      </c>
      <c r="Q178" t="n">
        <v>1</v>
      </c>
      <c r="R178" s="2" t="inlineStr">
        <is>
          <t>Småvänderot</t>
        </is>
      </c>
      <c r="S178">
        <f>HYPERLINK("https://klasma.github.io/Logging_1292/artfynd/A 27327-2022 artfynd.xlsx", "A 27327-2022")</f>
        <v/>
      </c>
      <c r="T178">
        <f>HYPERLINK("https://klasma.github.io/Logging_1292/kartor/A 27327-2022 karta.png", "A 27327-2022")</f>
        <v/>
      </c>
      <c r="V178">
        <f>HYPERLINK("https://klasma.github.io/Logging_1292/klagomål/A 27327-2022 FSC-klagomål.docx", "A 27327-2022")</f>
        <v/>
      </c>
      <c r="W178">
        <f>HYPERLINK("https://klasma.github.io/Logging_1292/klagomålsmail/A 27327-2022 FSC-klagomål mail.docx", "A 27327-2022")</f>
        <v/>
      </c>
      <c r="X178">
        <f>HYPERLINK("https://klasma.github.io/Logging_1292/tillsyn/A 27327-2022 tillsynsbegäran.docx", "A 27327-2022")</f>
        <v/>
      </c>
      <c r="Y178">
        <f>HYPERLINK("https://klasma.github.io/Logging_1292/tillsynsmail/A 27327-2022 tillsynsbegäran mail.docx", "A 27327-2022")</f>
        <v/>
      </c>
    </row>
    <row r="179" ht="15" customHeight="1">
      <c r="A179" t="inlineStr">
        <is>
          <t>A 37286-2021</t>
        </is>
      </c>
      <c r="B179" s="1" t="n">
        <v>44390</v>
      </c>
      <c r="C179" s="1" t="n">
        <v>45962</v>
      </c>
      <c r="D179" t="inlineStr">
        <is>
          <t>SKÅNE LÄN</t>
        </is>
      </c>
      <c r="E179" t="inlineStr">
        <is>
          <t>HÖÖR</t>
        </is>
      </c>
      <c r="G179" t="n">
        <v>2.2</v>
      </c>
      <c r="H179" t="n">
        <v>0</v>
      </c>
      <c r="I179" t="n">
        <v>0</v>
      </c>
      <c r="J179" t="n">
        <v>0</v>
      </c>
      <c r="K179" t="n">
        <v>1</v>
      </c>
      <c r="L179" t="n">
        <v>0</v>
      </c>
      <c r="M179" t="n">
        <v>0</v>
      </c>
      <c r="N179" t="n">
        <v>0</v>
      </c>
      <c r="O179" t="n">
        <v>1</v>
      </c>
      <c r="P179" t="n">
        <v>1</v>
      </c>
      <c r="Q179" t="n">
        <v>1</v>
      </c>
      <c r="R179" s="2" t="inlineStr">
        <is>
          <t>Småvänderot</t>
        </is>
      </c>
      <c r="S179">
        <f>HYPERLINK("https://klasma.github.io/Logging_1267/artfynd/A 37286-2021 artfynd.xlsx", "A 37286-2021")</f>
        <v/>
      </c>
      <c r="T179">
        <f>HYPERLINK("https://klasma.github.io/Logging_1267/kartor/A 37286-2021 karta.png", "A 37286-2021")</f>
        <v/>
      </c>
      <c r="V179">
        <f>HYPERLINK("https://klasma.github.io/Logging_1267/klagomål/A 37286-2021 FSC-klagomål.docx", "A 37286-2021")</f>
        <v/>
      </c>
      <c r="W179">
        <f>HYPERLINK("https://klasma.github.io/Logging_1267/klagomålsmail/A 37286-2021 FSC-klagomål mail.docx", "A 37286-2021")</f>
        <v/>
      </c>
      <c r="X179">
        <f>HYPERLINK("https://klasma.github.io/Logging_1267/tillsyn/A 37286-2021 tillsynsbegäran.docx", "A 37286-2021")</f>
        <v/>
      </c>
      <c r="Y179">
        <f>HYPERLINK("https://klasma.github.io/Logging_1267/tillsynsmail/A 37286-2021 tillsynsbegäran mail.docx", "A 37286-2021")</f>
        <v/>
      </c>
    </row>
    <row r="180" ht="15" customHeight="1">
      <c r="A180" t="inlineStr">
        <is>
          <t>A 28265-2022</t>
        </is>
      </c>
      <c r="B180" s="1" t="n">
        <v>44746</v>
      </c>
      <c r="C180" s="1" t="n">
        <v>45962</v>
      </c>
      <c r="D180" t="inlineStr">
        <is>
          <t>SKÅNE LÄN</t>
        </is>
      </c>
      <c r="E180" t="inlineStr">
        <is>
          <t>ÄNGELHOLM</t>
        </is>
      </c>
      <c r="G180" t="n">
        <v>3.3</v>
      </c>
      <c r="H180" t="n">
        <v>1</v>
      </c>
      <c r="I180" t="n">
        <v>0</v>
      </c>
      <c r="J180" t="n">
        <v>1</v>
      </c>
      <c r="K180" t="n">
        <v>0</v>
      </c>
      <c r="L180" t="n">
        <v>0</v>
      </c>
      <c r="M180" t="n">
        <v>0</v>
      </c>
      <c r="N180" t="n">
        <v>0</v>
      </c>
      <c r="O180" t="n">
        <v>1</v>
      </c>
      <c r="P180" t="n">
        <v>0</v>
      </c>
      <c r="Q180" t="n">
        <v>1</v>
      </c>
      <c r="R180" s="2" t="inlineStr">
        <is>
          <t>Havsörn</t>
        </is>
      </c>
      <c r="S180">
        <f>HYPERLINK("https://klasma.github.io/Logging_1292/artfynd/A 28265-2022 artfynd.xlsx", "A 28265-2022")</f>
        <v/>
      </c>
      <c r="T180">
        <f>HYPERLINK("https://klasma.github.io/Logging_1292/kartor/A 28265-2022 karta.png", "A 28265-2022")</f>
        <v/>
      </c>
      <c r="V180">
        <f>HYPERLINK("https://klasma.github.io/Logging_1292/klagomål/A 28265-2022 FSC-klagomål.docx", "A 28265-2022")</f>
        <v/>
      </c>
      <c r="W180">
        <f>HYPERLINK("https://klasma.github.io/Logging_1292/klagomålsmail/A 28265-2022 FSC-klagomål mail.docx", "A 28265-2022")</f>
        <v/>
      </c>
      <c r="X180">
        <f>HYPERLINK("https://klasma.github.io/Logging_1292/tillsyn/A 28265-2022 tillsynsbegäran.docx", "A 28265-2022")</f>
        <v/>
      </c>
      <c r="Y180">
        <f>HYPERLINK("https://klasma.github.io/Logging_1292/tillsynsmail/A 28265-2022 tillsynsbegäran mail.docx", "A 28265-2022")</f>
        <v/>
      </c>
      <c r="Z180">
        <f>HYPERLINK("https://klasma.github.io/Logging_1292/fåglar/A 28265-2022 prioriterade fågelarter.docx", "A 28265-2022")</f>
        <v/>
      </c>
    </row>
    <row r="181" ht="15" customHeight="1">
      <c r="A181" t="inlineStr">
        <is>
          <t>A 30708-2021</t>
        </is>
      </c>
      <c r="B181" s="1" t="n">
        <v>44365</v>
      </c>
      <c r="C181" s="1" t="n">
        <v>45962</v>
      </c>
      <c r="D181" t="inlineStr">
        <is>
          <t>SKÅNE LÄN</t>
        </is>
      </c>
      <c r="E181" t="inlineStr">
        <is>
          <t>KLIPPAN</t>
        </is>
      </c>
      <c r="G181" t="n">
        <v>0.5</v>
      </c>
      <c r="H181" t="n">
        <v>0</v>
      </c>
      <c r="I181" t="n">
        <v>0</v>
      </c>
      <c r="J181" t="n">
        <v>1</v>
      </c>
      <c r="K181" t="n">
        <v>0</v>
      </c>
      <c r="L181" t="n">
        <v>0</v>
      </c>
      <c r="M181" t="n">
        <v>0</v>
      </c>
      <c r="N181" t="n">
        <v>0</v>
      </c>
      <c r="O181" t="n">
        <v>1</v>
      </c>
      <c r="P181" t="n">
        <v>0</v>
      </c>
      <c r="Q181" t="n">
        <v>1</v>
      </c>
      <c r="R181" s="2" t="inlineStr">
        <is>
          <t>Koralltaggsvamp</t>
        </is>
      </c>
      <c r="S181">
        <f>HYPERLINK("https://klasma.github.io/Logging_1276/artfynd/A 30708-2021 artfynd.xlsx", "A 30708-2021")</f>
        <v/>
      </c>
      <c r="T181">
        <f>HYPERLINK("https://klasma.github.io/Logging_1276/kartor/A 30708-2021 karta.png", "A 30708-2021")</f>
        <v/>
      </c>
      <c r="V181">
        <f>HYPERLINK("https://klasma.github.io/Logging_1276/klagomål/A 30708-2021 FSC-klagomål.docx", "A 30708-2021")</f>
        <v/>
      </c>
      <c r="W181">
        <f>HYPERLINK("https://klasma.github.io/Logging_1276/klagomålsmail/A 30708-2021 FSC-klagomål mail.docx", "A 30708-2021")</f>
        <v/>
      </c>
      <c r="X181">
        <f>HYPERLINK("https://klasma.github.io/Logging_1276/tillsyn/A 30708-2021 tillsynsbegäran.docx", "A 30708-2021")</f>
        <v/>
      </c>
      <c r="Y181">
        <f>HYPERLINK("https://klasma.github.io/Logging_1276/tillsynsmail/A 30708-2021 tillsynsbegäran mail.docx", "A 30708-2021")</f>
        <v/>
      </c>
    </row>
    <row r="182" ht="15" customHeight="1">
      <c r="A182" t="inlineStr">
        <is>
          <t>A 65473-2021</t>
        </is>
      </c>
      <c r="B182" s="1" t="n">
        <v>44516.32994212963</v>
      </c>
      <c r="C182" s="1" t="n">
        <v>45962</v>
      </c>
      <c r="D182" t="inlineStr">
        <is>
          <t>SKÅNE LÄN</t>
        </is>
      </c>
      <c r="E182" t="inlineStr">
        <is>
          <t>ÖRKELLJUNGA</t>
        </is>
      </c>
      <c r="G182" t="n">
        <v>0.5</v>
      </c>
      <c r="H182" t="n">
        <v>0</v>
      </c>
      <c r="I182" t="n">
        <v>1</v>
      </c>
      <c r="J182" t="n">
        <v>0</v>
      </c>
      <c r="K182" t="n">
        <v>0</v>
      </c>
      <c r="L182" t="n">
        <v>0</v>
      </c>
      <c r="M182" t="n">
        <v>0</v>
      </c>
      <c r="N182" t="n">
        <v>0</v>
      </c>
      <c r="O182" t="n">
        <v>0</v>
      </c>
      <c r="P182" t="n">
        <v>0</v>
      </c>
      <c r="Q182" t="n">
        <v>1</v>
      </c>
      <c r="R182" s="2" t="inlineStr">
        <is>
          <t>Blåmossa</t>
        </is>
      </c>
      <c r="S182">
        <f>HYPERLINK("https://klasma.github.io/Logging_1257/artfynd/A 65473-2021 artfynd.xlsx", "A 65473-2021")</f>
        <v/>
      </c>
      <c r="T182">
        <f>HYPERLINK("https://klasma.github.io/Logging_1257/kartor/A 65473-2021 karta.png", "A 65473-2021")</f>
        <v/>
      </c>
      <c r="V182">
        <f>HYPERLINK("https://klasma.github.io/Logging_1257/klagomål/A 65473-2021 FSC-klagomål.docx", "A 65473-2021")</f>
        <v/>
      </c>
      <c r="W182">
        <f>HYPERLINK("https://klasma.github.io/Logging_1257/klagomålsmail/A 65473-2021 FSC-klagomål mail.docx", "A 65473-2021")</f>
        <v/>
      </c>
      <c r="X182">
        <f>HYPERLINK("https://klasma.github.io/Logging_1257/tillsyn/A 65473-2021 tillsynsbegäran.docx", "A 65473-2021")</f>
        <v/>
      </c>
      <c r="Y182">
        <f>HYPERLINK("https://klasma.github.io/Logging_1257/tillsynsmail/A 65473-2021 tillsynsbegäran mail.docx", "A 65473-2021")</f>
        <v/>
      </c>
    </row>
    <row r="183" ht="15" customHeight="1">
      <c r="A183" t="inlineStr">
        <is>
          <t>A 2697-2022</t>
        </is>
      </c>
      <c r="B183" s="1" t="n">
        <v>44580.61922453704</v>
      </c>
      <c r="C183" s="1" t="n">
        <v>45962</v>
      </c>
      <c r="D183" t="inlineStr">
        <is>
          <t>SKÅNE LÄN</t>
        </is>
      </c>
      <c r="E183" t="inlineStr">
        <is>
          <t>ÖSTRA GÖINGE</t>
        </is>
      </c>
      <c r="G183" t="n">
        <v>1.3</v>
      </c>
      <c r="H183" t="n">
        <v>1</v>
      </c>
      <c r="I183" t="n">
        <v>0</v>
      </c>
      <c r="J183" t="n">
        <v>1</v>
      </c>
      <c r="K183" t="n">
        <v>0</v>
      </c>
      <c r="L183" t="n">
        <v>0</v>
      </c>
      <c r="M183" t="n">
        <v>0</v>
      </c>
      <c r="N183" t="n">
        <v>0</v>
      </c>
      <c r="O183" t="n">
        <v>1</v>
      </c>
      <c r="P183" t="n">
        <v>0</v>
      </c>
      <c r="Q183" t="n">
        <v>1</v>
      </c>
      <c r="R183" s="2" t="inlineStr">
        <is>
          <t>Grönsångare</t>
        </is>
      </c>
      <c r="S183">
        <f>HYPERLINK("https://klasma.github.io/Logging_1256/artfynd/A 2697-2022 artfynd.xlsx", "A 2697-2022")</f>
        <v/>
      </c>
      <c r="T183">
        <f>HYPERLINK("https://klasma.github.io/Logging_1256/kartor/A 2697-2022 karta.png", "A 2697-2022")</f>
        <v/>
      </c>
      <c r="V183">
        <f>HYPERLINK("https://klasma.github.io/Logging_1256/klagomål/A 2697-2022 FSC-klagomål.docx", "A 2697-2022")</f>
        <v/>
      </c>
      <c r="W183">
        <f>HYPERLINK("https://klasma.github.io/Logging_1256/klagomålsmail/A 2697-2022 FSC-klagomål mail.docx", "A 2697-2022")</f>
        <v/>
      </c>
      <c r="X183">
        <f>HYPERLINK("https://klasma.github.io/Logging_1256/tillsyn/A 2697-2022 tillsynsbegäran.docx", "A 2697-2022")</f>
        <v/>
      </c>
      <c r="Y183">
        <f>HYPERLINK("https://klasma.github.io/Logging_1256/tillsynsmail/A 2697-2022 tillsynsbegäran mail.docx", "A 2697-2022")</f>
        <v/>
      </c>
      <c r="Z183">
        <f>HYPERLINK("https://klasma.github.io/Logging_1256/fåglar/A 2697-2022 prioriterade fågelarter.docx", "A 2697-2022")</f>
        <v/>
      </c>
    </row>
    <row r="184" ht="15" customHeight="1">
      <c r="A184" t="inlineStr">
        <is>
          <t>A 46919-2021</t>
        </is>
      </c>
      <c r="B184" s="1" t="n">
        <v>44446</v>
      </c>
      <c r="C184" s="1" t="n">
        <v>45962</v>
      </c>
      <c r="D184" t="inlineStr">
        <is>
          <t>SKÅNE LÄN</t>
        </is>
      </c>
      <c r="E184" t="inlineStr">
        <is>
          <t>HÖÖR</t>
        </is>
      </c>
      <c r="G184" t="n">
        <v>2.8</v>
      </c>
      <c r="H184" t="n">
        <v>0</v>
      </c>
      <c r="I184" t="n">
        <v>1</v>
      </c>
      <c r="J184" t="n">
        <v>0</v>
      </c>
      <c r="K184" t="n">
        <v>0</v>
      </c>
      <c r="L184" t="n">
        <v>0</v>
      </c>
      <c r="M184" t="n">
        <v>0</v>
      </c>
      <c r="N184" t="n">
        <v>0</v>
      </c>
      <c r="O184" t="n">
        <v>0</v>
      </c>
      <c r="P184" t="n">
        <v>0</v>
      </c>
      <c r="Q184" t="n">
        <v>1</v>
      </c>
      <c r="R184" s="2" t="inlineStr">
        <is>
          <t>Strutbräken</t>
        </is>
      </c>
      <c r="S184">
        <f>HYPERLINK("https://klasma.github.io/Logging_1267/artfynd/A 46919-2021 artfynd.xlsx", "A 46919-2021")</f>
        <v/>
      </c>
      <c r="T184">
        <f>HYPERLINK("https://klasma.github.io/Logging_1267/kartor/A 46919-2021 karta.png", "A 46919-2021")</f>
        <v/>
      </c>
      <c r="V184">
        <f>HYPERLINK("https://klasma.github.io/Logging_1267/klagomål/A 46919-2021 FSC-klagomål.docx", "A 46919-2021")</f>
        <v/>
      </c>
      <c r="W184">
        <f>HYPERLINK("https://klasma.github.io/Logging_1267/klagomålsmail/A 46919-2021 FSC-klagomål mail.docx", "A 46919-2021")</f>
        <v/>
      </c>
      <c r="X184">
        <f>HYPERLINK("https://klasma.github.io/Logging_1267/tillsyn/A 46919-2021 tillsynsbegäran.docx", "A 46919-2021")</f>
        <v/>
      </c>
      <c r="Y184">
        <f>HYPERLINK("https://klasma.github.io/Logging_1267/tillsynsmail/A 46919-2021 tillsynsbegäran mail.docx", "A 46919-2021")</f>
        <v/>
      </c>
    </row>
    <row r="185" ht="15" customHeight="1">
      <c r="A185" t="inlineStr">
        <is>
          <t>A 18464-2022</t>
        </is>
      </c>
      <c r="B185" s="1" t="n">
        <v>44686</v>
      </c>
      <c r="C185" s="1" t="n">
        <v>45962</v>
      </c>
      <c r="D185" t="inlineStr">
        <is>
          <t>SKÅNE LÄN</t>
        </is>
      </c>
      <c r="E185" t="inlineStr">
        <is>
          <t>SVEDALA</t>
        </is>
      </c>
      <c r="G185" t="n">
        <v>1.5</v>
      </c>
      <c r="H185" t="n">
        <v>1</v>
      </c>
      <c r="I185" t="n">
        <v>0</v>
      </c>
      <c r="J185" t="n">
        <v>0</v>
      </c>
      <c r="K185" t="n">
        <v>0</v>
      </c>
      <c r="L185" t="n">
        <v>0</v>
      </c>
      <c r="M185" t="n">
        <v>0</v>
      </c>
      <c r="N185" t="n">
        <v>0</v>
      </c>
      <c r="O185" t="n">
        <v>0</v>
      </c>
      <c r="P185" t="n">
        <v>0</v>
      </c>
      <c r="Q185" t="n">
        <v>1</v>
      </c>
      <c r="R185" s="2" t="inlineStr">
        <is>
          <t>Vanlig groda</t>
        </is>
      </c>
      <c r="S185">
        <f>HYPERLINK("https://klasma.github.io/Logging_1263/artfynd/A 18464-2022 artfynd.xlsx", "A 18464-2022")</f>
        <v/>
      </c>
      <c r="T185">
        <f>HYPERLINK("https://klasma.github.io/Logging_1263/kartor/A 18464-2022 karta.png", "A 18464-2022")</f>
        <v/>
      </c>
      <c r="V185">
        <f>HYPERLINK("https://klasma.github.io/Logging_1263/klagomål/A 18464-2022 FSC-klagomål.docx", "A 18464-2022")</f>
        <v/>
      </c>
      <c r="W185">
        <f>HYPERLINK("https://klasma.github.io/Logging_1263/klagomålsmail/A 18464-2022 FSC-klagomål mail.docx", "A 18464-2022")</f>
        <v/>
      </c>
      <c r="X185">
        <f>HYPERLINK("https://klasma.github.io/Logging_1263/tillsyn/A 18464-2022 tillsynsbegäran.docx", "A 18464-2022")</f>
        <v/>
      </c>
      <c r="Y185">
        <f>HYPERLINK("https://klasma.github.io/Logging_1263/tillsynsmail/A 18464-2022 tillsynsbegäran mail.docx", "A 18464-2022")</f>
        <v/>
      </c>
    </row>
    <row r="186" ht="15" customHeight="1">
      <c r="A186" t="inlineStr">
        <is>
          <t>A 46195-2022</t>
        </is>
      </c>
      <c r="B186" s="1" t="n">
        <v>44845</v>
      </c>
      <c r="C186" s="1" t="n">
        <v>45962</v>
      </c>
      <c r="D186" t="inlineStr">
        <is>
          <t>SKÅNE LÄN</t>
        </is>
      </c>
      <c r="E186" t="inlineStr">
        <is>
          <t>PERSTORP</t>
        </is>
      </c>
      <c r="G186" t="n">
        <v>0.7</v>
      </c>
      <c r="H186" t="n">
        <v>0</v>
      </c>
      <c r="I186" t="n">
        <v>1</v>
      </c>
      <c r="J186" t="n">
        <v>0</v>
      </c>
      <c r="K186" t="n">
        <v>0</v>
      </c>
      <c r="L186" t="n">
        <v>0</v>
      </c>
      <c r="M186" t="n">
        <v>0</v>
      </c>
      <c r="N186" t="n">
        <v>0</v>
      </c>
      <c r="O186" t="n">
        <v>0</v>
      </c>
      <c r="P186" t="n">
        <v>0</v>
      </c>
      <c r="Q186" t="n">
        <v>1</v>
      </c>
      <c r="R186" s="2" t="inlineStr">
        <is>
          <t>Brandticka</t>
        </is>
      </c>
      <c r="S186">
        <f>HYPERLINK("https://klasma.github.io/Logging_1275/artfynd/A 46195-2022 artfynd.xlsx", "A 46195-2022")</f>
        <v/>
      </c>
      <c r="T186">
        <f>HYPERLINK("https://klasma.github.io/Logging_1275/kartor/A 46195-2022 karta.png", "A 46195-2022")</f>
        <v/>
      </c>
      <c r="V186">
        <f>HYPERLINK("https://klasma.github.io/Logging_1275/klagomål/A 46195-2022 FSC-klagomål.docx", "A 46195-2022")</f>
        <v/>
      </c>
      <c r="W186">
        <f>HYPERLINK("https://klasma.github.io/Logging_1275/klagomålsmail/A 46195-2022 FSC-klagomål mail.docx", "A 46195-2022")</f>
        <v/>
      </c>
      <c r="X186">
        <f>HYPERLINK("https://klasma.github.io/Logging_1275/tillsyn/A 46195-2022 tillsynsbegäran.docx", "A 46195-2022")</f>
        <v/>
      </c>
      <c r="Y186">
        <f>HYPERLINK("https://klasma.github.io/Logging_1275/tillsynsmail/A 46195-2022 tillsynsbegäran mail.docx", "A 46195-2022")</f>
        <v/>
      </c>
    </row>
    <row r="187" ht="15" customHeight="1">
      <c r="A187" t="inlineStr">
        <is>
          <t>A 52355-2021</t>
        </is>
      </c>
      <c r="B187" s="1" t="n">
        <v>44464</v>
      </c>
      <c r="C187" s="1" t="n">
        <v>45962</v>
      </c>
      <c r="D187" t="inlineStr">
        <is>
          <t>SKÅNE LÄN</t>
        </is>
      </c>
      <c r="E187" t="inlineStr">
        <is>
          <t>LUND</t>
        </is>
      </c>
      <c r="G187" t="n">
        <v>2.5</v>
      </c>
      <c r="H187" t="n">
        <v>0</v>
      </c>
      <c r="I187" t="n">
        <v>0</v>
      </c>
      <c r="J187" t="n">
        <v>0</v>
      </c>
      <c r="K187" t="n">
        <v>0</v>
      </c>
      <c r="L187" t="n">
        <v>0</v>
      </c>
      <c r="M187" t="n">
        <v>1</v>
      </c>
      <c r="N187" t="n">
        <v>0</v>
      </c>
      <c r="O187" t="n">
        <v>1</v>
      </c>
      <c r="P187" t="n">
        <v>1</v>
      </c>
      <c r="Q187" t="n">
        <v>1</v>
      </c>
      <c r="R187" s="2" t="inlineStr">
        <is>
          <t>Skogsalm</t>
        </is>
      </c>
      <c r="S187">
        <f>HYPERLINK("https://klasma.github.io/Logging_1281/artfynd/A 52355-2021 artfynd.xlsx", "A 52355-2021")</f>
        <v/>
      </c>
      <c r="T187">
        <f>HYPERLINK("https://klasma.github.io/Logging_1281/kartor/A 52355-2021 karta.png", "A 52355-2021")</f>
        <v/>
      </c>
      <c r="V187">
        <f>HYPERLINK("https://klasma.github.io/Logging_1281/klagomål/A 52355-2021 FSC-klagomål.docx", "A 52355-2021")</f>
        <v/>
      </c>
      <c r="W187">
        <f>HYPERLINK("https://klasma.github.io/Logging_1281/klagomålsmail/A 52355-2021 FSC-klagomål mail.docx", "A 52355-2021")</f>
        <v/>
      </c>
      <c r="X187">
        <f>HYPERLINK("https://klasma.github.io/Logging_1281/tillsyn/A 52355-2021 tillsynsbegäran.docx", "A 52355-2021")</f>
        <v/>
      </c>
      <c r="Y187">
        <f>HYPERLINK("https://klasma.github.io/Logging_1281/tillsynsmail/A 52355-2021 tillsynsbegäran mail.docx", "A 52355-2021")</f>
        <v/>
      </c>
    </row>
    <row r="188" ht="15" customHeight="1">
      <c r="A188" t="inlineStr">
        <is>
          <t>A 13705-2022</t>
        </is>
      </c>
      <c r="B188" s="1" t="n">
        <v>44648</v>
      </c>
      <c r="C188" s="1" t="n">
        <v>45962</v>
      </c>
      <c r="D188" t="inlineStr">
        <is>
          <t>SKÅNE LÄN</t>
        </is>
      </c>
      <c r="E188" t="inlineStr">
        <is>
          <t>HÄSSLEHOLM</t>
        </is>
      </c>
      <c r="G188" t="n">
        <v>1.5</v>
      </c>
      <c r="H188" t="n">
        <v>1</v>
      </c>
      <c r="I188" t="n">
        <v>0</v>
      </c>
      <c r="J188" t="n">
        <v>0</v>
      </c>
      <c r="K188" t="n">
        <v>0</v>
      </c>
      <c r="L188" t="n">
        <v>0</v>
      </c>
      <c r="M188" t="n">
        <v>0</v>
      </c>
      <c r="N188" t="n">
        <v>0</v>
      </c>
      <c r="O188" t="n">
        <v>0</v>
      </c>
      <c r="P188" t="n">
        <v>0</v>
      </c>
      <c r="Q188" t="n">
        <v>1</v>
      </c>
      <c r="R188" s="2" t="inlineStr">
        <is>
          <t>Grönvit nattviol</t>
        </is>
      </c>
      <c r="S188">
        <f>HYPERLINK("https://klasma.github.io/Logging_1293/artfynd/A 13705-2022 artfynd.xlsx", "A 13705-2022")</f>
        <v/>
      </c>
      <c r="T188">
        <f>HYPERLINK("https://klasma.github.io/Logging_1293/kartor/A 13705-2022 karta.png", "A 13705-2022")</f>
        <v/>
      </c>
      <c r="V188">
        <f>HYPERLINK("https://klasma.github.io/Logging_1293/klagomål/A 13705-2022 FSC-klagomål.docx", "A 13705-2022")</f>
        <v/>
      </c>
      <c r="W188">
        <f>HYPERLINK("https://klasma.github.io/Logging_1293/klagomålsmail/A 13705-2022 FSC-klagomål mail.docx", "A 13705-2022")</f>
        <v/>
      </c>
      <c r="X188">
        <f>HYPERLINK("https://klasma.github.io/Logging_1293/tillsyn/A 13705-2022 tillsynsbegäran.docx", "A 13705-2022")</f>
        <v/>
      </c>
      <c r="Y188">
        <f>HYPERLINK("https://klasma.github.io/Logging_1293/tillsynsmail/A 13705-2022 tillsynsbegäran mail.docx", "A 13705-2022")</f>
        <v/>
      </c>
    </row>
    <row r="189" ht="15" customHeight="1">
      <c r="A189" t="inlineStr">
        <is>
          <t>A 56454-2021</t>
        </is>
      </c>
      <c r="B189" s="1" t="n">
        <v>44480</v>
      </c>
      <c r="C189" s="1" t="n">
        <v>45962</v>
      </c>
      <c r="D189" t="inlineStr">
        <is>
          <t>SKÅNE LÄN</t>
        </is>
      </c>
      <c r="E189" t="inlineStr">
        <is>
          <t>KRISTIANSTAD</t>
        </is>
      </c>
      <c r="F189" t="inlineStr">
        <is>
          <t>Kyrkan</t>
        </is>
      </c>
      <c r="G189" t="n">
        <v>2.9</v>
      </c>
      <c r="H189" t="n">
        <v>1</v>
      </c>
      <c r="I189" t="n">
        <v>0</v>
      </c>
      <c r="J189" t="n">
        <v>1</v>
      </c>
      <c r="K189" t="n">
        <v>0</v>
      </c>
      <c r="L189" t="n">
        <v>0</v>
      </c>
      <c r="M189" t="n">
        <v>0</v>
      </c>
      <c r="N189" t="n">
        <v>0</v>
      </c>
      <c r="O189" t="n">
        <v>1</v>
      </c>
      <c r="P189" t="n">
        <v>0</v>
      </c>
      <c r="Q189" t="n">
        <v>1</v>
      </c>
      <c r="R189" s="2" t="inlineStr">
        <is>
          <t>Svartvit flugsnappare</t>
        </is>
      </c>
      <c r="S189">
        <f>HYPERLINK("https://klasma.github.io/Logging_1290/artfynd/A 56454-2021 artfynd.xlsx", "A 56454-2021")</f>
        <v/>
      </c>
      <c r="T189">
        <f>HYPERLINK("https://klasma.github.io/Logging_1290/kartor/A 56454-2021 karta.png", "A 56454-2021")</f>
        <v/>
      </c>
      <c r="V189">
        <f>HYPERLINK("https://klasma.github.io/Logging_1290/klagomål/A 56454-2021 FSC-klagomål.docx", "A 56454-2021")</f>
        <v/>
      </c>
      <c r="W189">
        <f>HYPERLINK("https://klasma.github.io/Logging_1290/klagomålsmail/A 56454-2021 FSC-klagomål mail.docx", "A 56454-2021")</f>
        <v/>
      </c>
      <c r="X189">
        <f>HYPERLINK("https://klasma.github.io/Logging_1290/tillsyn/A 56454-2021 tillsynsbegäran.docx", "A 56454-2021")</f>
        <v/>
      </c>
      <c r="Y189">
        <f>HYPERLINK("https://klasma.github.io/Logging_1290/tillsynsmail/A 56454-2021 tillsynsbegäran mail.docx", "A 56454-2021")</f>
        <v/>
      </c>
      <c r="Z189">
        <f>HYPERLINK("https://klasma.github.io/Logging_1290/fåglar/A 56454-2021 prioriterade fågelarter.docx", "A 56454-2021")</f>
        <v/>
      </c>
    </row>
    <row r="190" ht="15" customHeight="1">
      <c r="A190" t="inlineStr">
        <is>
          <t>A 27955-2022</t>
        </is>
      </c>
      <c r="B190" s="1" t="n">
        <v>44743</v>
      </c>
      <c r="C190" s="1" t="n">
        <v>45962</v>
      </c>
      <c r="D190" t="inlineStr">
        <is>
          <t>SKÅNE LÄN</t>
        </is>
      </c>
      <c r="E190" t="inlineStr">
        <is>
          <t>KRISTIANSTAD</t>
        </is>
      </c>
      <c r="G190" t="n">
        <v>3.6</v>
      </c>
      <c r="H190" t="n">
        <v>1</v>
      </c>
      <c r="I190" t="n">
        <v>0</v>
      </c>
      <c r="J190" t="n">
        <v>1</v>
      </c>
      <c r="K190" t="n">
        <v>0</v>
      </c>
      <c r="L190" t="n">
        <v>0</v>
      </c>
      <c r="M190" t="n">
        <v>0</v>
      </c>
      <c r="N190" t="n">
        <v>0</v>
      </c>
      <c r="O190" t="n">
        <v>1</v>
      </c>
      <c r="P190" t="n">
        <v>0</v>
      </c>
      <c r="Q190" t="n">
        <v>1</v>
      </c>
      <c r="R190" s="2" t="inlineStr">
        <is>
          <t>Spillkråka</t>
        </is>
      </c>
      <c r="S190">
        <f>HYPERLINK("https://klasma.github.io/Logging_1290/artfynd/A 27955-2022 artfynd.xlsx", "A 27955-2022")</f>
        <v/>
      </c>
      <c r="T190">
        <f>HYPERLINK("https://klasma.github.io/Logging_1290/kartor/A 27955-2022 karta.png", "A 27955-2022")</f>
        <v/>
      </c>
      <c r="V190">
        <f>HYPERLINK("https://klasma.github.io/Logging_1290/klagomål/A 27955-2022 FSC-klagomål.docx", "A 27955-2022")</f>
        <v/>
      </c>
      <c r="W190">
        <f>HYPERLINK("https://klasma.github.io/Logging_1290/klagomålsmail/A 27955-2022 FSC-klagomål mail.docx", "A 27955-2022")</f>
        <v/>
      </c>
      <c r="X190">
        <f>HYPERLINK("https://klasma.github.io/Logging_1290/tillsyn/A 27955-2022 tillsynsbegäran.docx", "A 27955-2022")</f>
        <v/>
      </c>
      <c r="Y190">
        <f>HYPERLINK("https://klasma.github.io/Logging_1290/tillsynsmail/A 27955-2022 tillsynsbegäran mail.docx", "A 27955-2022")</f>
        <v/>
      </c>
      <c r="Z190">
        <f>HYPERLINK("https://klasma.github.io/Logging_1290/fåglar/A 27955-2022 prioriterade fågelarter.docx", "A 27955-2022")</f>
        <v/>
      </c>
    </row>
    <row r="191" ht="15" customHeight="1">
      <c r="A191" t="inlineStr">
        <is>
          <t>A 5732-2022</t>
        </is>
      </c>
      <c r="B191" s="1" t="n">
        <v>44596</v>
      </c>
      <c r="C191" s="1" t="n">
        <v>45962</v>
      </c>
      <c r="D191" t="inlineStr">
        <is>
          <t>SKÅNE LÄN</t>
        </is>
      </c>
      <c r="E191" t="inlineStr">
        <is>
          <t>KLIPPAN</t>
        </is>
      </c>
      <c r="G191" t="n">
        <v>6.1</v>
      </c>
      <c r="H191" t="n">
        <v>1</v>
      </c>
      <c r="I191" t="n">
        <v>0</v>
      </c>
      <c r="J191" t="n">
        <v>1</v>
      </c>
      <c r="K191" t="n">
        <v>0</v>
      </c>
      <c r="L191" t="n">
        <v>0</v>
      </c>
      <c r="M191" t="n">
        <v>0</v>
      </c>
      <c r="N191" t="n">
        <v>0</v>
      </c>
      <c r="O191" t="n">
        <v>1</v>
      </c>
      <c r="P191" t="n">
        <v>0</v>
      </c>
      <c r="Q191" t="n">
        <v>1</v>
      </c>
      <c r="R191" s="2" t="inlineStr">
        <is>
          <t>Talltita</t>
        </is>
      </c>
      <c r="S191">
        <f>HYPERLINK("https://klasma.github.io/Logging_1276/artfynd/A 5732-2022 artfynd.xlsx", "A 5732-2022")</f>
        <v/>
      </c>
      <c r="T191">
        <f>HYPERLINK("https://klasma.github.io/Logging_1276/kartor/A 5732-2022 karta.png", "A 5732-2022")</f>
        <v/>
      </c>
      <c r="V191">
        <f>HYPERLINK("https://klasma.github.io/Logging_1276/klagomål/A 5732-2022 FSC-klagomål.docx", "A 5732-2022")</f>
        <v/>
      </c>
      <c r="W191">
        <f>HYPERLINK("https://klasma.github.io/Logging_1276/klagomålsmail/A 5732-2022 FSC-klagomål mail.docx", "A 5732-2022")</f>
        <v/>
      </c>
      <c r="X191">
        <f>HYPERLINK("https://klasma.github.io/Logging_1276/tillsyn/A 5732-2022 tillsynsbegäran.docx", "A 5732-2022")</f>
        <v/>
      </c>
      <c r="Y191">
        <f>HYPERLINK("https://klasma.github.io/Logging_1276/tillsynsmail/A 5732-2022 tillsynsbegäran mail.docx", "A 5732-2022")</f>
        <v/>
      </c>
      <c r="Z191">
        <f>HYPERLINK("https://klasma.github.io/Logging_1276/fåglar/A 5732-2022 prioriterade fågelarter.docx", "A 5732-2022")</f>
        <v/>
      </c>
    </row>
    <row r="192" ht="15" customHeight="1">
      <c r="A192" t="inlineStr">
        <is>
          <t>A 33491-2022</t>
        </is>
      </c>
      <c r="B192" s="1" t="n">
        <v>44788.85543981481</v>
      </c>
      <c r="C192" s="1" t="n">
        <v>45962</v>
      </c>
      <c r="D192" t="inlineStr">
        <is>
          <t>SKÅNE LÄN</t>
        </is>
      </c>
      <c r="E192" t="inlineStr">
        <is>
          <t>OSBY</t>
        </is>
      </c>
      <c r="G192" t="n">
        <v>11.8</v>
      </c>
      <c r="H192" t="n">
        <v>0</v>
      </c>
      <c r="I192" t="n">
        <v>0</v>
      </c>
      <c r="J192" t="n">
        <v>0</v>
      </c>
      <c r="K192" t="n">
        <v>0</v>
      </c>
      <c r="L192" t="n">
        <v>0</v>
      </c>
      <c r="M192" t="n">
        <v>0</v>
      </c>
      <c r="N192" t="n">
        <v>1</v>
      </c>
      <c r="O192" t="n">
        <v>1</v>
      </c>
      <c r="P192" t="n">
        <v>0</v>
      </c>
      <c r="Q192" t="n">
        <v>1</v>
      </c>
      <c r="R192" s="2" t="inlineStr">
        <is>
          <t>Pimpinellros</t>
        </is>
      </c>
      <c r="S192">
        <f>HYPERLINK("https://klasma.github.io/Logging_1273/artfynd/A 33491-2022 artfynd.xlsx", "A 33491-2022")</f>
        <v/>
      </c>
      <c r="T192">
        <f>HYPERLINK("https://klasma.github.io/Logging_1273/kartor/A 33491-2022 karta.png", "A 33491-2022")</f>
        <v/>
      </c>
      <c r="V192">
        <f>HYPERLINK("https://klasma.github.io/Logging_1273/klagomål/A 33491-2022 FSC-klagomål.docx", "A 33491-2022")</f>
        <v/>
      </c>
      <c r="W192">
        <f>HYPERLINK("https://klasma.github.io/Logging_1273/klagomålsmail/A 33491-2022 FSC-klagomål mail.docx", "A 33491-2022")</f>
        <v/>
      </c>
      <c r="X192">
        <f>HYPERLINK("https://klasma.github.io/Logging_1273/tillsyn/A 33491-2022 tillsynsbegäran.docx", "A 33491-2022")</f>
        <v/>
      </c>
      <c r="Y192">
        <f>HYPERLINK("https://klasma.github.io/Logging_1273/tillsynsmail/A 33491-2022 tillsynsbegäran mail.docx", "A 33491-2022")</f>
        <v/>
      </c>
    </row>
    <row r="193" ht="15" customHeight="1">
      <c r="A193" t="inlineStr">
        <is>
          <t>A 62434-2020</t>
        </is>
      </c>
      <c r="B193" s="1" t="n">
        <v>44159</v>
      </c>
      <c r="C193" s="1" t="n">
        <v>45962</v>
      </c>
      <c r="D193" t="inlineStr">
        <is>
          <t>SKÅNE LÄN</t>
        </is>
      </c>
      <c r="E193" t="inlineStr">
        <is>
          <t>HÄSSLEHOLM</t>
        </is>
      </c>
      <c r="G193" t="n">
        <v>2</v>
      </c>
      <c r="H193" t="n">
        <v>0</v>
      </c>
      <c r="I193" t="n">
        <v>0</v>
      </c>
      <c r="J193" t="n">
        <v>1</v>
      </c>
      <c r="K193" t="n">
        <v>0</v>
      </c>
      <c r="L193" t="n">
        <v>0</v>
      </c>
      <c r="M193" t="n">
        <v>0</v>
      </c>
      <c r="N193" t="n">
        <v>0</v>
      </c>
      <c r="O193" t="n">
        <v>1</v>
      </c>
      <c r="P193" t="n">
        <v>0</v>
      </c>
      <c r="Q193" t="n">
        <v>1</v>
      </c>
      <c r="R193" s="2" t="inlineStr">
        <is>
          <t>Borsttåg</t>
        </is>
      </c>
      <c r="S193">
        <f>HYPERLINK("https://klasma.github.io/Logging_1293/artfynd/A 62434-2020 artfynd.xlsx", "A 62434-2020")</f>
        <v/>
      </c>
      <c r="T193">
        <f>HYPERLINK("https://klasma.github.io/Logging_1293/kartor/A 62434-2020 karta.png", "A 62434-2020")</f>
        <v/>
      </c>
      <c r="V193">
        <f>HYPERLINK("https://klasma.github.io/Logging_1293/klagomål/A 62434-2020 FSC-klagomål.docx", "A 62434-2020")</f>
        <v/>
      </c>
      <c r="W193">
        <f>HYPERLINK("https://klasma.github.io/Logging_1293/klagomålsmail/A 62434-2020 FSC-klagomål mail.docx", "A 62434-2020")</f>
        <v/>
      </c>
      <c r="X193">
        <f>HYPERLINK("https://klasma.github.io/Logging_1293/tillsyn/A 62434-2020 tillsynsbegäran.docx", "A 62434-2020")</f>
        <v/>
      </c>
      <c r="Y193">
        <f>HYPERLINK("https://klasma.github.io/Logging_1293/tillsynsmail/A 62434-2020 tillsynsbegäran mail.docx", "A 62434-2020")</f>
        <v/>
      </c>
    </row>
    <row r="194" ht="15" customHeight="1">
      <c r="A194" t="inlineStr">
        <is>
          <t>A 16684-2023</t>
        </is>
      </c>
      <c r="B194" s="1" t="n">
        <v>45030</v>
      </c>
      <c r="C194" s="1" t="n">
        <v>45962</v>
      </c>
      <c r="D194" t="inlineStr">
        <is>
          <t>SKÅNE LÄN</t>
        </is>
      </c>
      <c r="E194" t="inlineStr">
        <is>
          <t>SVEDALA</t>
        </is>
      </c>
      <c r="G194" t="n">
        <v>6.1</v>
      </c>
      <c r="H194" t="n">
        <v>0</v>
      </c>
      <c r="I194" t="n">
        <v>0</v>
      </c>
      <c r="J194" t="n">
        <v>0</v>
      </c>
      <c r="K194" t="n">
        <v>1</v>
      </c>
      <c r="L194" t="n">
        <v>0</v>
      </c>
      <c r="M194" t="n">
        <v>0</v>
      </c>
      <c r="N194" t="n">
        <v>0</v>
      </c>
      <c r="O194" t="n">
        <v>1</v>
      </c>
      <c r="P194" t="n">
        <v>1</v>
      </c>
      <c r="Q194" t="n">
        <v>1</v>
      </c>
      <c r="R194" s="2" t="inlineStr">
        <is>
          <t>Större grynsnäcka</t>
        </is>
      </c>
      <c r="S194">
        <f>HYPERLINK("https://klasma.github.io/Logging_1263/artfynd/A 16684-2023 artfynd.xlsx", "A 16684-2023")</f>
        <v/>
      </c>
      <c r="T194">
        <f>HYPERLINK("https://klasma.github.io/Logging_1263/kartor/A 16684-2023 karta.png", "A 16684-2023")</f>
        <v/>
      </c>
      <c r="V194">
        <f>HYPERLINK("https://klasma.github.io/Logging_1263/klagomål/A 16684-2023 FSC-klagomål.docx", "A 16684-2023")</f>
        <v/>
      </c>
      <c r="W194">
        <f>HYPERLINK("https://klasma.github.io/Logging_1263/klagomålsmail/A 16684-2023 FSC-klagomål mail.docx", "A 16684-2023")</f>
        <v/>
      </c>
      <c r="X194">
        <f>HYPERLINK("https://klasma.github.io/Logging_1263/tillsyn/A 16684-2023 tillsynsbegäran.docx", "A 16684-2023")</f>
        <v/>
      </c>
      <c r="Y194">
        <f>HYPERLINK("https://klasma.github.io/Logging_1263/tillsynsmail/A 16684-2023 tillsynsbegäran mail.docx", "A 16684-2023")</f>
        <v/>
      </c>
    </row>
    <row r="195" ht="15" customHeight="1">
      <c r="A195" t="inlineStr">
        <is>
          <t>A 15475-2024</t>
        </is>
      </c>
      <c r="B195" s="1" t="n">
        <v>45401</v>
      </c>
      <c r="C195" s="1" t="n">
        <v>45962</v>
      </c>
      <c r="D195" t="inlineStr">
        <is>
          <t>SKÅNE LÄN</t>
        </is>
      </c>
      <c r="E195" t="inlineStr">
        <is>
          <t>SVALÖV</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HYPERLINK("https://klasma.github.io/Logging_1214/artfynd/A 15475-2024 artfynd.xlsx", "A 15475-2024")</f>
        <v/>
      </c>
      <c r="T195">
        <f>HYPERLINK("https://klasma.github.io/Logging_1214/kartor/A 15475-2024 karta.png", "A 15475-2024")</f>
        <v/>
      </c>
      <c r="V195">
        <f>HYPERLINK("https://klasma.github.io/Logging_1214/klagomål/A 15475-2024 FSC-klagomål.docx", "A 15475-2024")</f>
        <v/>
      </c>
      <c r="W195">
        <f>HYPERLINK("https://klasma.github.io/Logging_1214/klagomålsmail/A 15475-2024 FSC-klagomål mail.docx", "A 15475-2024")</f>
        <v/>
      </c>
      <c r="X195">
        <f>HYPERLINK("https://klasma.github.io/Logging_1214/tillsyn/A 15475-2024 tillsynsbegäran.docx", "A 15475-2024")</f>
        <v/>
      </c>
      <c r="Y195">
        <f>HYPERLINK("https://klasma.github.io/Logging_1214/tillsynsmail/A 15475-2024 tillsynsbegäran mail.docx", "A 15475-2024")</f>
        <v/>
      </c>
    </row>
    <row r="196" ht="15" customHeight="1">
      <c r="A196" t="inlineStr">
        <is>
          <t>A 25456-2023</t>
        </is>
      </c>
      <c r="B196" s="1" t="n">
        <v>45089</v>
      </c>
      <c r="C196" s="1" t="n">
        <v>45962</v>
      </c>
      <c r="D196" t="inlineStr">
        <is>
          <t>SKÅNE LÄN</t>
        </is>
      </c>
      <c r="E196" t="inlineStr">
        <is>
          <t>KRISTIANSTAD</t>
        </is>
      </c>
      <c r="G196" t="n">
        <v>1</v>
      </c>
      <c r="H196" t="n">
        <v>0</v>
      </c>
      <c r="I196" t="n">
        <v>0</v>
      </c>
      <c r="J196" t="n">
        <v>1</v>
      </c>
      <c r="K196" t="n">
        <v>0</v>
      </c>
      <c r="L196" t="n">
        <v>0</v>
      </c>
      <c r="M196" t="n">
        <v>0</v>
      </c>
      <c r="N196" t="n">
        <v>0</v>
      </c>
      <c r="O196" t="n">
        <v>1</v>
      </c>
      <c r="P196" t="n">
        <v>0</v>
      </c>
      <c r="Q196" t="n">
        <v>1</v>
      </c>
      <c r="R196" s="2" t="inlineStr">
        <is>
          <t>Krattsnabbvinge</t>
        </is>
      </c>
      <c r="S196">
        <f>HYPERLINK("https://klasma.github.io/Logging_1290/artfynd/A 25456-2023 artfynd.xlsx", "A 25456-2023")</f>
        <v/>
      </c>
      <c r="T196">
        <f>HYPERLINK("https://klasma.github.io/Logging_1290/kartor/A 25456-2023 karta.png", "A 25456-2023")</f>
        <v/>
      </c>
      <c r="V196">
        <f>HYPERLINK("https://klasma.github.io/Logging_1290/klagomål/A 25456-2023 FSC-klagomål.docx", "A 25456-2023")</f>
        <v/>
      </c>
      <c r="W196">
        <f>HYPERLINK("https://klasma.github.io/Logging_1290/klagomålsmail/A 25456-2023 FSC-klagomål mail.docx", "A 25456-2023")</f>
        <v/>
      </c>
      <c r="X196">
        <f>HYPERLINK("https://klasma.github.io/Logging_1290/tillsyn/A 25456-2023 tillsynsbegäran.docx", "A 25456-2023")</f>
        <v/>
      </c>
      <c r="Y196">
        <f>HYPERLINK("https://klasma.github.io/Logging_1290/tillsynsmail/A 25456-2023 tillsynsbegäran mail.docx", "A 25456-2023")</f>
        <v/>
      </c>
    </row>
    <row r="197" ht="15" customHeight="1">
      <c r="A197" t="inlineStr">
        <is>
          <t>A 35443-2021</t>
        </is>
      </c>
      <c r="B197" s="1" t="n">
        <v>44385</v>
      </c>
      <c r="C197" s="1" t="n">
        <v>45962</v>
      </c>
      <c r="D197" t="inlineStr">
        <is>
          <t>SKÅNE LÄN</t>
        </is>
      </c>
      <c r="E197" t="inlineStr">
        <is>
          <t>LUND</t>
        </is>
      </c>
      <c r="G197" t="n">
        <v>4.2</v>
      </c>
      <c r="H197" t="n">
        <v>0</v>
      </c>
      <c r="I197" t="n">
        <v>0</v>
      </c>
      <c r="J197" t="n">
        <v>0</v>
      </c>
      <c r="K197" t="n">
        <v>0</v>
      </c>
      <c r="L197" t="n">
        <v>1</v>
      </c>
      <c r="M197" t="n">
        <v>0</v>
      </c>
      <c r="N197" t="n">
        <v>0</v>
      </c>
      <c r="O197" t="n">
        <v>1</v>
      </c>
      <c r="P197" t="n">
        <v>1</v>
      </c>
      <c r="Q197" t="n">
        <v>1</v>
      </c>
      <c r="R197" s="2" t="inlineStr">
        <is>
          <t>Klubbfibbla</t>
        </is>
      </c>
      <c r="S197">
        <f>HYPERLINK("https://klasma.github.io/Logging_1281/artfynd/A 35443-2021 artfynd.xlsx", "A 35443-2021")</f>
        <v/>
      </c>
      <c r="T197">
        <f>HYPERLINK("https://klasma.github.io/Logging_1281/kartor/A 35443-2021 karta.png", "A 35443-2021")</f>
        <v/>
      </c>
      <c r="V197">
        <f>HYPERLINK("https://klasma.github.io/Logging_1281/klagomål/A 35443-2021 FSC-klagomål.docx", "A 35443-2021")</f>
        <v/>
      </c>
      <c r="W197">
        <f>HYPERLINK("https://klasma.github.io/Logging_1281/klagomålsmail/A 35443-2021 FSC-klagomål mail.docx", "A 35443-2021")</f>
        <v/>
      </c>
      <c r="X197">
        <f>HYPERLINK("https://klasma.github.io/Logging_1281/tillsyn/A 35443-2021 tillsynsbegäran.docx", "A 35443-2021")</f>
        <v/>
      </c>
      <c r="Y197">
        <f>HYPERLINK("https://klasma.github.io/Logging_1281/tillsynsmail/A 35443-2021 tillsynsbegäran mail.docx", "A 35443-2021")</f>
        <v/>
      </c>
    </row>
    <row r="198" ht="15" customHeight="1">
      <c r="A198" t="inlineStr">
        <is>
          <t>A 7082-2024</t>
        </is>
      </c>
      <c r="B198" s="1" t="n">
        <v>45343</v>
      </c>
      <c r="C198" s="1" t="n">
        <v>45962</v>
      </c>
      <c r="D198" t="inlineStr">
        <is>
          <t>SKÅNE LÄN</t>
        </is>
      </c>
      <c r="E198" t="inlineStr">
        <is>
          <t>SIMRISHAMN</t>
        </is>
      </c>
      <c r="F198" t="inlineStr">
        <is>
          <t>Övriga Aktiebolag</t>
        </is>
      </c>
      <c r="G198" t="n">
        <v>22.7</v>
      </c>
      <c r="H198" t="n">
        <v>0</v>
      </c>
      <c r="I198" t="n">
        <v>0</v>
      </c>
      <c r="J198" t="n">
        <v>0</v>
      </c>
      <c r="K198" t="n">
        <v>1</v>
      </c>
      <c r="L198" t="n">
        <v>0</v>
      </c>
      <c r="M198" t="n">
        <v>0</v>
      </c>
      <c r="N198" t="n">
        <v>0</v>
      </c>
      <c r="O198" t="n">
        <v>1</v>
      </c>
      <c r="P198" t="n">
        <v>1</v>
      </c>
      <c r="Q198" t="n">
        <v>1</v>
      </c>
      <c r="R198" s="2" t="inlineStr">
        <is>
          <t>Småvänderot</t>
        </is>
      </c>
      <c r="S198">
        <f>HYPERLINK("https://klasma.github.io/Logging_1291/artfynd/A 7082-2024 artfynd.xlsx", "A 7082-2024")</f>
        <v/>
      </c>
      <c r="T198">
        <f>HYPERLINK("https://klasma.github.io/Logging_1291/kartor/A 7082-2024 karta.png", "A 7082-2024")</f>
        <v/>
      </c>
      <c r="V198">
        <f>HYPERLINK("https://klasma.github.io/Logging_1291/klagomål/A 7082-2024 FSC-klagomål.docx", "A 7082-2024")</f>
        <v/>
      </c>
      <c r="W198">
        <f>HYPERLINK("https://klasma.github.io/Logging_1291/klagomålsmail/A 7082-2024 FSC-klagomål mail.docx", "A 7082-2024")</f>
        <v/>
      </c>
      <c r="X198">
        <f>HYPERLINK("https://klasma.github.io/Logging_1291/tillsyn/A 7082-2024 tillsynsbegäran.docx", "A 7082-2024")</f>
        <v/>
      </c>
      <c r="Y198">
        <f>HYPERLINK("https://klasma.github.io/Logging_1291/tillsynsmail/A 7082-2024 tillsynsbegäran mail.docx", "A 7082-2024")</f>
        <v/>
      </c>
    </row>
    <row r="199" ht="15" customHeight="1">
      <c r="A199" t="inlineStr">
        <is>
          <t>A 7862-2024</t>
        </is>
      </c>
      <c r="B199" s="1" t="n">
        <v>45348</v>
      </c>
      <c r="C199" s="1" t="n">
        <v>45962</v>
      </c>
      <c r="D199" t="inlineStr">
        <is>
          <t>SKÅNE LÄN</t>
        </is>
      </c>
      <c r="E199" t="inlineStr">
        <is>
          <t>HÄSSLEHOLM</t>
        </is>
      </c>
      <c r="G199" t="n">
        <v>5</v>
      </c>
      <c r="H199" t="n">
        <v>0</v>
      </c>
      <c r="I199" t="n">
        <v>1</v>
      </c>
      <c r="J199" t="n">
        <v>0</v>
      </c>
      <c r="K199" t="n">
        <v>0</v>
      </c>
      <c r="L199" t="n">
        <v>0</v>
      </c>
      <c r="M199" t="n">
        <v>0</v>
      </c>
      <c r="N199" t="n">
        <v>0</v>
      </c>
      <c r="O199" t="n">
        <v>0</v>
      </c>
      <c r="P199" t="n">
        <v>0</v>
      </c>
      <c r="Q199" t="n">
        <v>1</v>
      </c>
      <c r="R199" s="2" t="inlineStr">
        <is>
          <t>Stor revmossa</t>
        </is>
      </c>
      <c r="S199">
        <f>HYPERLINK("https://klasma.github.io/Logging_1293/artfynd/A 7862-2024 artfynd.xlsx", "A 7862-2024")</f>
        <v/>
      </c>
      <c r="T199">
        <f>HYPERLINK("https://klasma.github.io/Logging_1293/kartor/A 7862-2024 karta.png", "A 7862-2024")</f>
        <v/>
      </c>
      <c r="V199">
        <f>HYPERLINK("https://klasma.github.io/Logging_1293/klagomål/A 7862-2024 FSC-klagomål.docx", "A 7862-2024")</f>
        <v/>
      </c>
      <c r="W199">
        <f>HYPERLINK("https://klasma.github.io/Logging_1293/klagomålsmail/A 7862-2024 FSC-klagomål mail.docx", "A 7862-2024")</f>
        <v/>
      </c>
      <c r="X199">
        <f>HYPERLINK("https://klasma.github.io/Logging_1293/tillsyn/A 7862-2024 tillsynsbegäran.docx", "A 7862-2024")</f>
        <v/>
      </c>
      <c r="Y199">
        <f>HYPERLINK("https://klasma.github.io/Logging_1293/tillsynsmail/A 7862-2024 tillsynsbegäran mail.docx", "A 7862-2024")</f>
        <v/>
      </c>
    </row>
    <row r="200" ht="15" customHeight="1">
      <c r="A200" t="inlineStr">
        <is>
          <t>A 15068-2023</t>
        </is>
      </c>
      <c r="B200" s="1" t="n">
        <v>45015</v>
      </c>
      <c r="C200" s="1" t="n">
        <v>45962</v>
      </c>
      <c r="D200" t="inlineStr">
        <is>
          <t>SKÅNE LÄN</t>
        </is>
      </c>
      <c r="E200" t="inlineStr">
        <is>
          <t>ÖRKELLJUNGA</t>
        </is>
      </c>
      <c r="G200" t="n">
        <v>9.9</v>
      </c>
      <c r="H200" t="n">
        <v>0</v>
      </c>
      <c r="I200" t="n">
        <v>1</v>
      </c>
      <c r="J200" t="n">
        <v>0</v>
      </c>
      <c r="K200" t="n">
        <v>0</v>
      </c>
      <c r="L200" t="n">
        <v>0</v>
      </c>
      <c r="M200" t="n">
        <v>0</v>
      </c>
      <c r="N200" t="n">
        <v>0</v>
      </c>
      <c r="O200" t="n">
        <v>0</v>
      </c>
      <c r="P200" t="n">
        <v>0</v>
      </c>
      <c r="Q200" t="n">
        <v>1</v>
      </c>
      <c r="R200" s="2" t="inlineStr">
        <is>
          <t>Kambräken</t>
        </is>
      </c>
      <c r="S200">
        <f>HYPERLINK("https://klasma.github.io/Logging_1257/artfynd/A 15068-2023 artfynd.xlsx", "A 15068-2023")</f>
        <v/>
      </c>
      <c r="T200">
        <f>HYPERLINK("https://klasma.github.io/Logging_1257/kartor/A 15068-2023 karta.png", "A 15068-2023")</f>
        <v/>
      </c>
      <c r="V200">
        <f>HYPERLINK("https://klasma.github.io/Logging_1257/klagomål/A 15068-2023 FSC-klagomål.docx", "A 15068-2023")</f>
        <v/>
      </c>
      <c r="W200">
        <f>HYPERLINK("https://klasma.github.io/Logging_1257/klagomålsmail/A 15068-2023 FSC-klagomål mail.docx", "A 15068-2023")</f>
        <v/>
      </c>
      <c r="X200">
        <f>HYPERLINK("https://klasma.github.io/Logging_1257/tillsyn/A 15068-2023 tillsynsbegäran.docx", "A 15068-2023")</f>
        <v/>
      </c>
      <c r="Y200">
        <f>HYPERLINK("https://klasma.github.io/Logging_1257/tillsynsmail/A 15068-2023 tillsynsbegäran mail.docx", "A 15068-2023")</f>
        <v/>
      </c>
    </row>
    <row r="201" ht="15" customHeight="1">
      <c r="A201" t="inlineStr">
        <is>
          <t>A 2695-2022</t>
        </is>
      </c>
      <c r="B201" s="1" t="n">
        <v>44580</v>
      </c>
      <c r="C201" s="1" t="n">
        <v>45962</v>
      </c>
      <c r="D201" t="inlineStr">
        <is>
          <t>SKÅNE LÄN</t>
        </is>
      </c>
      <c r="E201" t="inlineStr">
        <is>
          <t>ÖSTRA GÖINGE</t>
        </is>
      </c>
      <c r="G201" t="n">
        <v>2.5</v>
      </c>
      <c r="H201" t="n">
        <v>1</v>
      </c>
      <c r="I201" t="n">
        <v>0</v>
      </c>
      <c r="J201" t="n">
        <v>1</v>
      </c>
      <c r="K201" t="n">
        <v>0</v>
      </c>
      <c r="L201" t="n">
        <v>0</v>
      </c>
      <c r="M201" t="n">
        <v>0</v>
      </c>
      <c r="N201" t="n">
        <v>0</v>
      </c>
      <c r="O201" t="n">
        <v>1</v>
      </c>
      <c r="P201" t="n">
        <v>0</v>
      </c>
      <c r="Q201" t="n">
        <v>1</v>
      </c>
      <c r="R201" s="2" t="inlineStr">
        <is>
          <t>Grönsångare</t>
        </is>
      </c>
      <c r="S201">
        <f>HYPERLINK("https://klasma.github.io/Logging_1256/artfynd/A 2695-2022 artfynd.xlsx", "A 2695-2022")</f>
        <v/>
      </c>
      <c r="T201">
        <f>HYPERLINK("https://klasma.github.io/Logging_1256/kartor/A 2695-2022 karta.png", "A 2695-2022")</f>
        <v/>
      </c>
      <c r="V201">
        <f>HYPERLINK("https://klasma.github.io/Logging_1256/klagomål/A 2695-2022 FSC-klagomål.docx", "A 2695-2022")</f>
        <v/>
      </c>
      <c r="W201">
        <f>HYPERLINK("https://klasma.github.io/Logging_1256/klagomålsmail/A 2695-2022 FSC-klagomål mail.docx", "A 2695-2022")</f>
        <v/>
      </c>
      <c r="X201">
        <f>HYPERLINK("https://klasma.github.io/Logging_1256/tillsyn/A 2695-2022 tillsynsbegäran.docx", "A 2695-2022")</f>
        <v/>
      </c>
      <c r="Y201">
        <f>HYPERLINK("https://klasma.github.io/Logging_1256/tillsynsmail/A 2695-2022 tillsynsbegäran mail.docx", "A 2695-2022")</f>
        <v/>
      </c>
      <c r="Z201">
        <f>HYPERLINK("https://klasma.github.io/Logging_1256/fåglar/A 2695-2022 prioriterade fågelarter.docx", "A 2695-2022")</f>
        <v/>
      </c>
    </row>
    <row r="202" ht="15" customHeight="1">
      <c r="A202" t="inlineStr">
        <is>
          <t>A 7705-2025</t>
        </is>
      </c>
      <c r="B202" s="1" t="n">
        <v>45705</v>
      </c>
      <c r="C202" s="1" t="n">
        <v>45962</v>
      </c>
      <c r="D202" t="inlineStr">
        <is>
          <t>SKÅNE LÄN</t>
        </is>
      </c>
      <c r="E202" t="inlineStr">
        <is>
          <t>ÄNGELHOLM</t>
        </is>
      </c>
      <c r="G202" t="n">
        <v>7.1</v>
      </c>
      <c r="H202" t="n">
        <v>1</v>
      </c>
      <c r="I202" t="n">
        <v>0</v>
      </c>
      <c r="J202" t="n">
        <v>0</v>
      </c>
      <c r="K202" t="n">
        <v>0</v>
      </c>
      <c r="L202" t="n">
        <v>0</v>
      </c>
      <c r="M202" t="n">
        <v>0</v>
      </c>
      <c r="N202" t="n">
        <v>0</v>
      </c>
      <c r="O202" t="n">
        <v>0</v>
      </c>
      <c r="P202" t="n">
        <v>0</v>
      </c>
      <c r="Q202" t="n">
        <v>1</v>
      </c>
      <c r="R202" s="2" t="inlineStr">
        <is>
          <t>Revlummer</t>
        </is>
      </c>
      <c r="S202">
        <f>HYPERLINK("https://klasma.github.io/Logging_1292/artfynd/A 7705-2025 artfynd.xlsx", "A 7705-2025")</f>
        <v/>
      </c>
      <c r="T202">
        <f>HYPERLINK("https://klasma.github.io/Logging_1292/kartor/A 7705-2025 karta.png", "A 7705-2025")</f>
        <v/>
      </c>
      <c r="V202">
        <f>HYPERLINK("https://klasma.github.io/Logging_1292/klagomål/A 7705-2025 FSC-klagomål.docx", "A 7705-2025")</f>
        <v/>
      </c>
      <c r="W202">
        <f>HYPERLINK("https://klasma.github.io/Logging_1292/klagomålsmail/A 7705-2025 FSC-klagomål mail.docx", "A 7705-2025")</f>
        <v/>
      </c>
      <c r="X202">
        <f>HYPERLINK("https://klasma.github.io/Logging_1292/tillsyn/A 7705-2025 tillsynsbegäran.docx", "A 7705-2025")</f>
        <v/>
      </c>
      <c r="Y202">
        <f>HYPERLINK("https://klasma.github.io/Logging_1292/tillsynsmail/A 7705-2025 tillsynsbegäran mail.docx", "A 7705-2025")</f>
        <v/>
      </c>
    </row>
    <row r="203" ht="15" customHeight="1">
      <c r="A203" t="inlineStr">
        <is>
          <t>A 4615-2024</t>
        </is>
      </c>
      <c r="B203" s="1" t="n">
        <v>45328</v>
      </c>
      <c r="C203" s="1" t="n">
        <v>45962</v>
      </c>
      <c r="D203" t="inlineStr">
        <is>
          <t>SKÅNE LÄN</t>
        </is>
      </c>
      <c r="E203" t="inlineStr">
        <is>
          <t>KRISTIANSTAD</t>
        </is>
      </c>
      <c r="G203" t="n">
        <v>6.6</v>
      </c>
      <c r="H203" t="n">
        <v>0</v>
      </c>
      <c r="I203" t="n">
        <v>0</v>
      </c>
      <c r="J203" t="n">
        <v>1</v>
      </c>
      <c r="K203" t="n">
        <v>0</v>
      </c>
      <c r="L203" t="n">
        <v>0</v>
      </c>
      <c r="M203" t="n">
        <v>0</v>
      </c>
      <c r="N203" t="n">
        <v>0</v>
      </c>
      <c r="O203" t="n">
        <v>1</v>
      </c>
      <c r="P203" t="n">
        <v>0</v>
      </c>
      <c r="Q203" t="n">
        <v>1</v>
      </c>
      <c r="R203" s="2" t="inlineStr">
        <is>
          <t>Skogslysing</t>
        </is>
      </c>
      <c r="S203">
        <f>HYPERLINK("https://klasma.github.io/Logging_1290/artfynd/A 4615-2024 artfynd.xlsx", "A 4615-2024")</f>
        <v/>
      </c>
      <c r="T203">
        <f>HYPERLINK("https://klasma.github.io/Logging_1290/kartor/A 4615-2024 karta.png", "A 4615-2024")</f>
        <v/>
      </c>
      <c r="V203">
        <f>HYPERLINK("https://klasma.github.io/Logging_1290/klagomål/A 4615-2024 FSC-klagomål.docx", "A 4615-2024")</f>
        <v/>
      </c>
      <c r="W203">
        <f>HYPERLINK("https://klasma.github.io/Logging_1290/klagomålsmail/A 4615-2024 FSC-klagomål mail.docx", "A 4615-2024")</f>
        <v/>
      </c>
      <c r="X203">
        <f>HYPERLINK("https://klasma.github.io/Logging_1290/tillsyn/A 4615-2024 tillsynsbegäran.docx", "A 4615-2024")</f>
        <v/>
      </c>
      <c r="Y203">
        <f>HYPERLINK("https://klasma.github.io/Logging_1290/tillsynsmail/A 4615-2024 tillsynsbegäran mail.docx", "A 4615-2024")</f>
        <v/>
      </c>
    </row>
    <row r="204" ht="15" customHeight="1">
      <c r="A204" t="inlineStr">
        <is>
          <t>A 24528-2023</t>
        </is>
      </c>
      <c r="B204" s="1" t="n">
        <v>45082</v>
      </c>
      <c r="C204" s="1" t="n">
        <v>45962</v>
      </c>
      <c r="D204" t="inlineStr">
        <is>
          <t>SKÅNE LÄN</t>
        </is>
      </c>
      <c r="E204" t="inlineStr">
        <is>
          <t>ÖSTRA GÖINGE</t>
        </is>
      </c>
      <c r="G204" t="n">
        <v>5.1</v>
      </c>
      <c r="H204" t="n">
        <v>0</v>
      </c>
      <c r="I204" t="n">
        <v>1</v>
      </c>
      <c r="J204" t="n">
        <v>0</v>
      </c>
      <c r="K204" t="n">
        <v>0</v>
      </c>
      <c r="L204" t="n">
        <v>0</v>
      </c>
      <c r="M204" t="n">
        <v>0</v>
      </c>
      <c r="N204" t="n">
        <v>0</v>
      </c>
      <c r="O204" t="n">
        <v>0</v>
      </c>
      <c r="P204" t="n">
        <v>0</v>
      </c>
      <c r="Q204" t="n">
        <v>1</v>
      </c>
      <c r="R204" s="2" t="inlineStr">
        <is>
          <t>Springkorn</t>
        </is>
      </c>
      <c r="S204">
        <f>HYPERLINK("https://klasma.github.io/Logging_1256/artfynd/A 24528-2023 artfynd.xlsx", "A 24528-2023")</f>
        <v/>
      </c>
      <c r="T204">
        <f>HYPERLINK("https://klasma.github.io/Logging_1256/kartor/A 24528-2023 karta.png", "A 24528-2023")</f>
        <v/>
      </c>
      <c r="V204">
        <f>HYPERLINK("https://klasma.github.io/Logging_1256/klagomål/A 24528-2023 FSC-klagomål.docx", "A 24528-2023")</f>
        <v/>
      </c>
      <c r="W204">
        <f>HYPERLINK("https://klasma.github.io/Logging_1256/klagomålsmail/A 24528-2023 FSC-klagomål mail.docx", "A 24528-2023")</f>
        <v/>
      </c>
      <c r="X204">
        <f>HYPERLINK("https://klasma.github.io/Logging_1256/tillsyn/A 24528-2023 tillsynsbegäran.docx", "A 24528-2023")</f>
        <v/>
      </c>
      <c r="Y204">
        <f>HYPERLINK("https://klasma.github.io/Logging_1256/tillsynsmail/A 24528-2023 tillsynsbegäran mail.docx", "A 24528-2023")</f>
        <v/>
      </c>
    </row>
    <row r="205" ht="15" customHeight="1">
      <c r="A205" t="inlineStr">
        <is>
          <t>A 8223-2025</t>
        </is>
      </c>
      <c r="B205" s="1" t="n">
        <v>45708.46127314815</v>
      </c>
      <c r="C205" s="1" t="n">
        <v>45962</v>
      </c>
      <c r="D205" t="inlineStr">
        <is>
          <t>SKÅNE LÄN</t>
        </is>
      </c>
      <c r="E205" t="inlineStr">
        <is>
          <t>HÄSSLEHOLM</t>
        </is>
      </c>
      <c r="G205" t="n">
        <v>0.8</v>
      </c>
      <c r="H205" t="n">
        <v>1</v>
      </c>
      <c r="I205" t="n">
        <v>0</v>
      </c>
      <c r="J205" t="n">
        <v>0</v>
      </c>
      <c r="K205" t="n">
        <v>0</v>
      </c>
      <c r="L205" t="n">
        <v>0</v>
      </c>
      <c r="M205" t="n">
        <v>0</v>
      </c>
      <c r="N205" t="n">
        <v>0</v>
      </c>
      <c r="O205" t="n">
        <v>0</v>
      </c>
      <c r="P205" t="n">
        <v>0</v>
      </c>
      <c r="Q205" t="n">
        <v>1</v>
      </c>
      <c r="R205" s="2" t="inlineStr">
        <is>
          <t>Kungsfågel</t>
        </is>
      </c>
      <c r="S205">
        <f>HYPERLINK("https://klasma.github.io/Logging_1293/artfynd/A 8223-2025 artfynd.xlsx", "A 8223-2025")</f>
        <v/>
      </c>
      <c r="T205">
        <f>HYPERLINK("https://klasma.github.io/Logging_1293/kartor/A 8223-2025 karta.png", "A 8223-2025")</f>
        <v/>
      </c>
      <c r="V205">
        <f>HYPERLINK("https://klasma.github.io/Logging_1293/klagomål/A 8223-2025 FSC-klagomål.docx", "A 8223-2025")</f>
        <v/>
      </c>
      <c r="W205">
        <f>HYPERLINK("https://klasma.github.io/Logging_1293/klagomålsmail/A 8223-2025 FSC-klagomål mail.docx", "A 8223-2025")</f>
        <v/>
      </c>
      <c r="X205">
        <f>HYPERLINK("https://klasma.github.io/Logging_1293/tillsyn/A 8223-2025 tillsynsbegäran.docx", "A 8223-2025")</f>
        <v/>
      </c>
      <c r="Y205">
        <f>HYPERLINK("https://klasma.github.io/Logging_1293/tillsynsmail/A 8223-2025 tillsynsbegäran mail.docx", "A 8223-2025")</f>
        <v/>
      </c>
      <c r="Z205">
        <f>HYPERLINK("https://klasma.github.io/Logging_1293/fåglar/A 8223-2025 prioriterade fågelarter.docx", "A 8223-2025")</f>
        <v/>
      </c>
    </row>
    <row r="206" ht="15" customHeight="1">
      <c r="A206" t="inlineStr">
        <is>
          <t>A 74272-2021</t>
        </is>
      </c>
      <c r="B206" s="1" t="n">
        <v>44553</v>
      </c>
      <c r="C206" s="1" t="n">
        <v>45962</v>
      </c>
      <c r="D206" t="inlineStr">
        <is>
          <t>SKÅNE LÄN</t>
        </is>
      </c>
      <c r="E206" t="inlineStr">
        <is>
          <t>ÄNGELHOLM</t>
        </is>
      </c>
      <c r="G206" t="n">
        <v>5</v>
      </c>
      <c r="H206" t="n">
        <v>1</v>
      </c>
      <c r="I206" t="n">
        <v>0</v>
      </c>
      <c r="J206" t="n">
        <v>1</v>
      </c>
      <c r="K206" t="n">
        <v>0</v>
      </c>
      <c r="L206" t="n">
        <v>0</v>
      </c>
      <c r="M206" t="n">
        <v>0</v>
      </c>
      <c r="N206" t="n">
        <v>0</v>
      </c>
      <c r="O206" t="n">
        <v>1</v>
      </c>
      <c r="P206" t="n">
        <v>0</v>
      </c>
      <c r="Q206" t="n">
        <v>1</v>
      </c>
      <c r="R206" s="2" t="inlineStr">
        <is>
          <t>Entita</t>
        </is>
      </c>
      <c r="S206">
        <f>HYPERLINK("https://klasma.github.io/Logging_1292/artfynd/A 74272-2021 artfynd.xlsx", "A 74272-2021")</f>
        <v/>
      </c>
      <c r="T206">
        <f>HYPERLINK("https://klasma.github.io/Logging_1292/kartor/A 74272-2021 karta.png", "A 74272-2021")</f>
        <v/>
      </c>
      <c r="V206">
        <f>HYPERLINK("https://klasma.github.io/Logging_1292/klagomål/A 74272-2021 FSC-klagomål.docx", "A 74272-2021")</f>
        <v/>
      </c>
      <c r="W206">
        <f>HYPERLINK("https://klasma.github.io/Logging_1292/klagomålsmail/A 74272-2021 FSC-klagomål mail.docx", "A 74272-2021")</f>
        <v/>
      </c>
      <c r="X206">
        <f>HYPERLINK("https://klasma.github.io/Logging_1292/tillsyn/A 74272-2021 tillsynsbegäran.docx", "A 74272-2021")</f>
        <v/>
      </c>
      <c r="Y206">
        <f>HYPERLINK("https://klasma.github.io/Logging_1292/tillsynsmail/A 74272-2021 tillsynsbegäran mail.docx", "A 74272-2021")</f>
        <v/>
      </c>
      <c r="Z206">
        <f>HYPERLINK("https://klasma.github.io/Logging_1292/fåglar/A 74272-2021 prioriterade fågelarter.docx", "A 74272-2021")</f>
        <v/>
      </c>
    </row>
    <row r="207" ht="15" customHeight="1">
      <c r="A207" t="inlineStr">
        <is>
          <t>A 4892-2023</t>
        </is>
      </c>
      <c r="B207" s="1" t="n">
        <v>44958</v>
      </c>
      <c r="C207" s="1" t="n">
        <v>45962</v>
      </c>
      <c r="D207" t="inlineStr">
        <is>
          <t>SKÅNE LÄN</t>
        </is>
      </c>
      <c r="E207" t="inlineStr">
        <is>
          <t>ÖSTRA GÖINGE</t>
        </is>
      </c>
      <c r="G207" t="n">
        <v>2</v>
      </c>
      <c r="H207" t="n">
        <v>1</v>
      </c>
      <c r="I207" t="n">
        <v>0</v>
      </c>
      <c r="J207" t="n">
        <v>1</v>
      </c>
      <c r="K207" t="n">
        <v>0</v>
      </c>
      <c r="L207" t="n">
        <v>0</v>
      </c>
      <c r="M207" t="n">
        <v>0</v>
      </c>
      <c r="N207" t="n">
        <v>0</v>
      </c>
      <c r="O207" t="n">
        <v>1</v>
      </c>
      <c r="P207" t="n">
        <v>0</v>
      </c>
      <c r="Q207" t="n">
        <v>1</v>
      </c>
      <c r="R207" s="2" t="inlineStr">
        <is>
          <t>Gulsparv</t>
        </is>
      </c>
      <c r="S207">
        <f>HYPERLINK("https://klasma.github.io/Logging_1256/artfynd/A 4892-2023 artfynd.xlsx", "A 4892-2023")</f>
        <v/>
      </c>
      <c r="T207">
        <f>HYPERLINK("https://klasma.github.io/Logging_1256/kartor/A 4892-2023 karta.png", "A 4892-2023")</f>
        <v/>
      </c>
      <c r="V207">
        <f>HYPERLINK("https://klasma.github.io/Logging_1256/klagomål/A 4892-2023 FSC-klagomål.docx", "A 4892-2023")</f>
        <v/>
      </c>
      <c r="W207">
        <f>HYPERLINK("https://klasma.github.io/Logging_1256/klagomålsmail/A 4892-2023 FSC-klagomål mail.docx", "A 4892-2023")</f>
        <v/>
      </c>
      <c r="X207">
        <f>HYPERLINK("https://klasma.github.io/Logging_1256/tillsyn/A 4892-2023 tillsynsbegäran.docx", "A 4892-2023")</f>
        <v/>
      </c>
      <c r="Y207">
        <f>HYPERLINK("https://klasma.github.io/Logging_1256/tillsynsmail/A 4892-2023 tillsynsbegäran mail.docx", "A 4892-2023")</f>
        <v/>
      </c>
      <c r="Z207">
        <f>HYPERLINK("https://klasma.github.io/Logging_1256/fåglar/A 4892-2023 prioriterade fågelarter.docx", "A 4892-2023")</f>
        <v/>
      </c>
    </row>
    <row r="208" ht="15" customHeight="1">
      <c r="A208" t="inlineStr">
        <is>
          <t>A 10000-2025</t>
        </is>
      </c>
      <c r="B208" s="1" t="n">
        <v>45719.44871527778</v>
      </c>
      <c r="C208" s="1" t="n">
        <v>45962</v>
      </c>
      <c r="D208" t="inlineStr">
        <is>
          <t>SKÅNE LÄN</t>
        </is>
      </c>
      <c r="E208" t="inlineStr">
        <is>
          <t>KLIPPAN</t>
        </is>
      </c>
      <c r="G208" t="n">
        <v>2.6</v>
      </c>
      <c r="H208" t="n">
        <v>0</v>
      </c>
      <c r="I208" t="n">
        <v>1</v>
      </c>
      <c r="J208" t="n">
        <v>0</v>
      </c>
      <c r="K208" t="n">
        <v>0</v>
      </c>
      <c r="L208" t="n">
        <v>0</v>
      </c>
      <c r="M208" t="n">
        <v>0</v>
      </c>
      <c r="N208" t="n">
        <v>0</v>
      </c>
      <c r="O208" t="n">
        <v>0</v>
      </c>
      <c r="P208" t="n">
        <v>0</v>
      </c>
      <c r="Q208" t="n">
        <v>1</v>
      </c>
      <c r="R208" s="2" t="inlineStr">
        <is>
          <t>Dvärghäxört</t>
        </is>
      </c>
      <c r="S208">
        <f>HYPERLINK("https://klasma.github.io/Logging_1276/artfynd/A 10000-2025 artfynd.xlsx", "A 10000-2025")</f>
        <v/>
      </c>
      <c r="T208">
        <f>HYPERLINK("https://klasma.github.io/Logging_1276/kartor/A 10000-2025 karta.png", "A 10000-2025")</f>
        <v/>
      </c>
      <c r="V208">
        <f>HYPERLINK("https://klasma.github.io/Logging_1276/klagomål/A 10000-2025 FSC-klagomål.docx", "A 10000-2025")</f>
        <v/>
      </c>
      <c r="W208">
        <f>HYPERLINK("https://klasma.github.io/Logging_1276/klagomålsmail/A 10000-2025 FSC-klagomål mail.docx", "A 10000-2025")</f>
        <v/>
      </c>
      <c r="X208">
        <f>HYPERLINK("https://klasma.github.io/Logging_1276/tillsyn/A 10000-2025 tillsynsbegäran.docx", "A 10000-2025")</f>
        <v/>
      </c>
      <c r="Y208">
        <f>HYPERLINK("https://klasma.github.io/Logging_1276/tillsynsmail/A 10000-2025 tillsynsbegäran mail.docx", "A 10000-2025")</f>
        <v/>
      </c>
    </row>
    <row r="209" ht="15" customHeight="1">
      <c r="A209" t="inlineStr">
        <is>
          <t>A 31764-2023</t>
        </is>
      </c>
      <c r="B209" s="1" t="n">
        <v>45118</v>
      </c>
      <c r="C209" s="1" t="n">
        <v>45962</v>
      </c>
      <c r="D209" t="inlineStr">
        <is>
          <t>SKÅNE LÄN</t>
        </is>
      </c>
      <c r="E209" t="inlineStr">
        <is>
          <t>LUND</t>
        </is>
      </c>
      <c r="F209" t="inlineStr">
        <is>
          <t>Kommuner</t>
        </is>
      </c>
      <c r="G209" t="n">
        <v>1.2</v>
      </c>
      <c r="H209" t="n">
        <v>0</v>
      </c>
      <c r="I209" t="n">
        <v>0</v>
      </c>
      <c r="J209" t="n">
        <v>0</v>
      </c>
      <c r="K209" t="n">
        <v>0</v>
      </c>
      <c r="L209" t="n">
        <v>0</v>
      </c>
      <c r="M209" t="n">
        <v>0</v>
      </c>
      <c r="N209" t="n">
        <v>0</v>
      </c>
      <c r="O209" t="n">
        <v>1</v>
      </c>
      <c r="P209" t="n">
        <v>0</v>
      </c>
      <c r="Q209" t="n">
        <v>1</v>
      </c>
      <c r="R209" s="2" t="inlineStr">
        <is>
          <t>Skorpdyna</t>
        </is>
      </c>
      <c r="S209">
        <f>HYPERLINK("https://klasma.github.io/Logging_1281/artfynd/A 31764-2023 artfynd.xlsx", "A 31764-2023")</f>
        <v/>
      </c>
      <c r="T209">
        <f>HYPERLINK("https://klasma.github.io/Logging_1281/kartor/A 31764-2023 karta.png", "A 31764-2023")</f>
        <v/>
      </c>
      <c r="V209">
        <f>HYPERLINK("https://klasma.github.io/Logging_1281/klagomål/A 31764-2023 FSC-klagomål.docx", "A 31764-2023")</f>
        <v/>
      </c>
      <c r="W209">
        <f>HYPERLINK("https://klasma.github.io/Logging_1281/klagomålsmail/A 31764-2023 FSC-klagomål mail.docx", "A 31764-2023")</f>
        <v/>
      </c>
      <c r="X209">
        <f>HYPERLINK("https://klasma.github.io/Logging_1281/tillsyn/A 31764-2023 tillsynsbegäran.docx", "A 31764-2023")</f>
        <v/>
      </c>
      <c r="Y209">
        <f>HYPERLINK("https://klasma.github.io/Logging_1281/tillsynsmail/A 31764-2023 tillsynsbegäran mail.docx", "A 31764-2023")</f>
        <v/>
      </c>
    </row>
    <row r="210" ht="15" customHeight="1">
      <c r="A210" t="inlineStr">
        <is>
          <t>A 20280-2025</t>
        </is>
      </c>
      <c r="B210" s="1" t="n">
        <v>45774.38790509259</v>
      </c>
      <c r="C210" s="1" t="n">
        <v>45962</v>
      </c>
      <c r="D210" t="inlineStr">
        <is>
          <t>SKÅNE LÄN</t>
        </is>
      </c>
      <c r="E210" t="inlineStr">
        <is>
          <t>HÄSSLEHOLM</t>
        </is>
      </c>
      <c r="G210" t="n">
        <v>3</v>
      </c>
      <c r="H210" t="n">
        <v>0</v>
      </c>
      <c r="I210" t="n">
        <v>0</v>
      </c>
      <c r="J210" t="n">
        <v>0</v>
      </c>
      <c r="K210" t="n">
        <v>1</v>
      </c>
      <c r="L210" t="n">
        <v>0</v>
      </c>
      <c r="M210" t="n">
        <v>0</v>
      </c>
      <c r="N210" t="n">
        <v>0</v>
      </c>
      <c r="O210" t="n">
        <v>1</v>
      </c>
      <c r="P210" t="n">
        <v>1</v>
      </c>
      <c r="Q210" t="n">
        <v>1</v>
      </c>
      <c r="R210" s="2" t="inlineStr">
        <is>
          <t>Revig blodrot</t>
        </is>
      </c>
      <c r="S210">
        <f>HYPERLINK("https://klasma.github.io/Logging_1293/artfynd/A 20280-2025 artfynd.xlsx", "A 20280-2025")</f>
        <v/>
      </c>
      <c r="T210">
        <f>HYPERLINK("https://klasma.github.io/Logging_1293/kartor/A 20280-2025 karta.png", "A 20280-2025")</f>
        <v/>
      </c>
      <c r="V210">
        <f>HYPERLINK("https://klasma.github.io/Logging_1293/klagomål/A 20280-2025 FSC-klagomål.docx", "A 20280-2025")</f>
        <v/>
      </c>
      <c r="W210">
        <f>HYPERLINK("https://klasma.github.io/Logging_1293/klagomålsmail/A 20280-2025 FSC-klagomål mail.docx", "A 20280-2025")</f>
        <v/>
      </c>
      <c r="X210">
        <f>HYPERLINK("https://klasma.github.io/Logging_1293/tillsyn/A 20280-2025 tillsynsbegäran.docx", "A 20280-2025")</f>
        <v/>
      </c>
      <c r="Y210">
        <f>HYPERLINK("https://klasma.github.io/Logging_1293/tillsynsmail/A 20280-2025 tillsynsbegäran mail.docx", "A 20280-2025")</f>
        <v/>
      </c>
    </row>
    <row r="211" ht="15" customHeight="1">
      <c r="A211" t="inlineStr">
        <is>
          <t>A 951-2024</t>
        </is>
      </c>
      <c r="B211" s="1" t="n">
        <v>45301</v>
      </c>
      <c r="C211" s="1" t="n">
        <v>45962</v>
      </c>
      <c r="D211" t="inlineStr">
        <is>
          <t>SKÅNE LÄN</t>
        </is>
      </c>
      <c r="E211" t="inlineStr">
        <is>
          <t>SIMRISHAMN</t>
        </is>
      </c>
      <c r="F211" t="inlineStr">
        <is>
          <t>Övriga Aktiebolag</t>
        </is>
      </c>
      <c r="G211" t="n">
        <v>28.1</v>
      </c>
      <c r="H211" t="n">
        <v>1</v>
      </c>
      <c r="I211" t="n">
        <v>0</v>
      </c>
      <c r="J211" t="n">
        <v>0</v>
      </c>
      <c r="K211" t="n">
        <v>0</v>
      </c>
      <c r="L211" t="n">
        <v>0</v>
      </c>
      <c r="M211" t="n">
        <v>0</v>
      </c>
      <c r="N211" t="n">
        <v>0</v>
      </c>
      <c r="O211" t="n">
        <v>0</v>
      </c>
      <c r="P211" t="n">
        <v>0</v>
      </c>
      <c r="Q211" t="n">
        <v>1</v>
      </c>
      <c r="R211" s="2" t="inlineStr">
        <is>
          <t>Dvärgpipistrell</t>
        </is>
      </c>
      <c r="S211">
        <f>HYPERLINK("https://klasma.github.io/Logging_1291/artfynd/A 951-2024 artfynd.xlsx", "A 951-2024")</f>
        <v/>
      </c>
      <c r="T211">
        <f>HYPERLINK("https://klasma.github.io/Logging_1291/kartor/A 951-2024 karta.png", "A 951-2024")</f>
        <v/>
      </c>
      <c r="V211">
        <f>HYPERLINK("https://klasma.github.io/Logging_1291/klagomål/A 951-2024 FSC-klagomål.docx", "A 951-2024")</f>
        <v/>
      </c>
      <c r="W211">
        <f>HYPERLINK("https://klasma.github.io/Logging_1291/klagomålsmail/A 951-2024 FSC-klagomål mail.docx", "A 951-2024")</f>
        <v/>
      </c>
      <c r="X211">
        <f>HYPERLINK("https://klasma.github.io/Logging_1291/tillsyn/A 951-2024 tillsynsbegäran.docx", "A 951-2024")</f>
        <v/>
      </c>
      <c r="Y211">
        <f>HYPERLINK("https://klasma.github.io/Logging_1291/tillsynsmail/A 951-2024 tillsynsbegäran mail.docx", "A 951-2024")</f>
        <v/>
      </c>
    </row>
    <row r="212" ht="15" customHeight="1">
      <c r="A212" t="inlineStr">
        <is>
          <t>A 60891-2024</t>
        </is>
      </c>
      <c r="B212" s="1" t="n">
        <v>45644</v>
      </c>
      <c r="C212" s="1" t="n">
        <v>45962</v>
      </c>
      <c r="D212" t="inlineStr">
        <is>
          <t>SKÅNE LÄN</t>
        </is>
      </c>
      <c r="E212" t="inlineStr">
        <is>
          <t>YSTAD</t>
        </is>
      </c>
      <c r="G212" t="n">
        <v>16.1</v>
      </c>
      <c r="H212" t="n">
        <v>1</v>
      </c>
      <c r="I212" t="n">
        <v>0</v>
      </c>
      <c r="J212" t="n">
        <v>0</v>
      </c>
      <c r="K212" t="n">
        <v>0</v>
      </c>
      <c r="L212" t="n">
        <v>0</v>
      </c>
      <c r="M212" t="n">
        <v>0</v>
      </c>
      <c r="N212" t="n">
        <v>0</v>
      </c>
      <c r="O212" t="n">
        <v>0</v>
      </c>
      <c r="P212" t="n">
        <v>0</v>
      </c>
      <c r="Q212" t="n">
        <v>1</v>
      </c>
      <c r="R212" s="2" t="inlineStr">
        <is>
          <t>Lövgroda</t>
        </is>
      </c>
      <c r="S212">
        <f>HYPERLINK("https://klasma.github.io/Logging_1286/artfynd/A 60891-2024 artfynd.xlsx", "A 60891-2024")</f>
        <v/>
      </c>
      <c r="T212">
        <f>HYPERLINK("https://klasma.github.io/Logging_1286/kartor/A 60891-2024 karta.png", "A 60891-2024")</f>
        <v/>
      </c>
      <c r="V212">
        <f>HYPERLINK("https://klasma.github.io/Logging_1286/klagomål/A 60891-2024 FSC-klagomål.docx", "A 60891-2024")</f>
        <v/>
      </c>
      <c r="W212">
        <f>HYPERLINK("https://klasma.github.io/Logging_1286/klagomålsmail/A 60891-2024 FSC-klagomål mail.docx", "A 60891-2024")</f>
        <v/>
      </c>
      <c r="X212">
        <f>HYPERLINK("https://klasma.github.io/Logging_1286/tillsyn/A 60891-2024 tillsynsbegäran.docx", "A 60891-2024")</f>
        <v/>
      </c>
      <c r="Y212">
        <f>HYPERLINK("https://klasma.github.io/Logging_1286/tillsynsmail/A 60891-2024 tillsynsbegäran mail.docx", "A 60891-2024")</f>
        <v/>
      </c>
    </row>
    <row r="213" ht="15" customHeight="1">
      <c r="A213" t="inlineStr">
        <is>
          <t>A 42053-2023</t>
        </is>
      </c>
      <c r="B213" s="1" t="n">
        <v>45174</v>
      </c>
      <c r="C213" s="1" t="n">
        <v>45962</v>
      </c>
      <c r="D213" t="inlineStr">
        <is>
          <t>SKÅNE LÄN</t>
        </is>
      </c>
      <c r="E213" t="inlineStr">
        <is>
          <t>HÖÖR</t>
        </is>
      </c>
      <c r="G213" t="n">
        <v>1</v>
      </c>
      <c r="H213" t="n">
        <v>0</v>
      </c>
      <c r="I213" t="n">
        <v>0</v>
      </c>
      <c r="J213" t="n">
        <v>0</v>
      </c>
      <c r="K213" t="n">
        <v>1</v>
      </c>
      <c r="L213" t="n">
        <v>0</v>
      </c>
      <c r="M213" t="n">
        <v>0</v>
      </c>
      <c r="N213" t="n">
        <v>0</v>
      </c>
      <c r="O213" t="n">
        <v>1</v>
      </c>
      <c r="P213" t="n">
        <v>1</v>
      </c>
      <c r="Q213" t="n">
        <v>1</v>
      </c>
      <c r="R213" s="2" t="inlineStr">
        <is>
          <t>Småvänderot</t>
        </is>
      </c>
      <c r="S213">
        <f>HYPERLINK("https://klasma.github.io/Logging_1267/artfynd/A 42053-2023 artfynd.xlsx", "A 42053-2023")</f>
        <v/>
      </c>
      <c r="T213">
        <f>HYPERLINK("https://klasma.github.io/Logging_1267/kartor/A 42053-2023 karta.png", "A 42053-2023")</f>
        <v/>
      </c>
      <c r="V213">
        <f>HYPERLINK("https://klasma.github.io/Logging_1267/klagomål/A 42053-2023 FSC-klagomål.docx", "A 42053-2023")</f>
        <v/>
      </c>
      <c r="W213">
        <f>HYPERLINK("https://klasma.github.io/Logging_1267/klagomålsmail/A 42053-2023 FSC-klagomål mail.docx", "A 42053-2023")</f>
        <v/>
      </c>
      <c r="X213">
        <f>HYPERLINK("https://klasma.github.io/Logging_1267/tillsyn/A 42053-2023 tillsynsbegäran.docx", "A 42053-2023")</f>
        <v/>
      </c>
      <c r="Y213">
        <f>HYPERLINK("https://klasma.github.io/Logging_1267/tillsynsmail/A 42053-2023 tillsynsbegäran mail.docx", "A 42053-2023")</f>
        <v/>
      </c>
    </row>
    <row r="214" ht="15" customHeight="1">
      <c r="A214" t="inlineStr">
        <is>
          <t>A 1604-2025</t>
        </is>
      </c>
      <c r="B214" s="1" t="n">
        <v>45670</v>
      </c>
      <c r="C214" s="1" t="n">
        <v>45962</v>
      </c>
      <c r="D214" t="inlineStr">
        <is>
          <t>SKÅNE LÄN</t>
        </is>
      </c>
      <c r="E214" t="inlineStr">
        <is>
          <t>ÖRKELLJUNGA</t>
        </is>
      </c>
      <c r="F214" t="inlineStr">
        <is>
          <t>Kommuner</t>
        </is>
      </c>
      <c r="G214" t="n">
        <v>7</v>
      </c>
      <c r="H214" t="n">
        <v>0</v>
      </c>
      <c r="I214" t="n">
        <v>0</v>
      </c>
      <c r="J214" t="n">
        <v>1</v>
      </c>
      <c r="K214" t="n">
        <v>0</v>
      </c>
      <c r="L214" t="n">
        <v>0</v>
      </c>
      <c r="M214" t="n">
        <v>0</v>
      </c>
      <c r="N214" t="n">
        <v>0</v>
      </c>
      <c r="O214" t="n">
        <v>1</v>
      </c>
      <c r="P214" t="n">
        <v>0</v>
      </c>
      <c r="Q214" t="n">
        <v>1</v>
      </c>
      <c r="R214" s="2" t="inlineStr">
        <is>
          <t>Igelkott</t>
        </is>
      </c>
      <c r="S214">
        <f>HYPERLINK("https://klasma.github.io/Logging_1257/artfynd/A 1604-2025 artfynd.xlsx", "A 1604-2025")</f>
        <v/>
      </c>
      <c r="T214">
        <f>HYPERLINK("https://klasma.github.io/Logging_1257/kartor/A 1604-2025 karta.png", "A 1604-2025")</f>
        <v/>
      </c>
      <c r="V214">
        <f>HYPERLINK("https://klasma.github.io/Logging_1257/klagomål/A 1604-2025 FSC-klagomål.docx", "A 1604-2025")</f>
        <v/>
      </c>
      <c r="W214">
        <f>HYPERLINK("https://klasma.github.io/Logging_1257/klagomålsmail/A 1604-2025 FSC-klagomål mail.docx", "A 1604-2025")</f>
        <v/>
      </c>
      <c r="X214">
        <f>HYPERLINK("https://klasma.github.io/Logging_1257/tillsyn/A 1604-2025 tillsynsbegäran.docx", "A 1604-2025")</f>
        <v/>
      </c>
      <c r="Y214">
        <f>HYPERLINK("https://klasma.github.io/Logging_1257/tillsynsmail/A 1604-2025 tillsynsbegäran mail.docx", "A 1604-2025")</f>
        <v/>
      </c>
    </row>
    <row r="215" ht="15" customHeight="1">
      <c r="A215" t="inlineStr">
        <is>
          <t>A 41004-2022</t>
        </is>
      </c>
      <c r="B215" s="1" t="n">
        <v>44825</v>
      </c>
      <c r="C215" s="1" t="n">
        <v>45962</v>
      </c>
      <c r="D215" t="inlineStr">
        <is>
          <t>SKÅNE LÄN</t>
        </is>
      </c>
      <c r="E215" t="inlineStr">
        <is>
          <t>KRISTIANSTAD</t>
        </is>
      </c>
      <c r="G215" t="n">
        <v>2.4</v>
      </c>
      <c r="H215" t="n">
        <v>0</v>
      </c>
      <c r="I215" t="n">
        <v>1</v>
      </c>
      <c r="J215" t="n">
        <v>0</v>
      </c>
      <c r="K215" t="n">
        <v>0</v>
      </c>
      <c r="L215" t="n">
        <v>0</v>
      </c>
      <c r="M215" t="n">
        <v>0</v>
      </c>
      <c r="N215" t="n">
        <v>0</v>
      </c>
      <c r="O215" t="n">
        <v>0</v>
      </c>
      <c r="P215" t="n">
        <v>0</v>
      </c>
      <c r="Q215" t="n">
        <v>1</v>
      </c>
      <c r="R215" s="2" t="inlineStr">
        <is>
          <t>Skogsbräsma</t>
        </is>
      </c>
      <c r="S215">
        <f>HYPERLINK("https://klasma.github.io/Logging_1290/artfynd/A 41004-2022 artfynd.xlsx", "A 41004-2022")</f>
        <v/>
      </c>
      <c r="T215">
        <f>HYPERLINK("https://klasma.github.io/Logging_1290/kartor/A 41004-2022 karta.png", "A 41004-2022")</f>
        <v/>
      </c>
      <c r="V215">
        <f>HYPERLINK("https://klasma.github.io/Logging_1290/klagomål/A 41004-2022 FSC-klagomål.docx", "A 41004-2022")</f>
        <v/>
      </c>
      <c r="W215">
        <f>HYPERLINK("https://klasma.github.io/Logging_1290/klagomålsmail/A 41004-2022 FSC-klagomål mail.docx", "A 41004-2022")</f>
        <v/>
      </c>
      <c r="X215">
        <f>HYPERLINK("https://klasma.github.io/Logging_1290/tillsyn/A 41004-2022 tillsynsbegäran.docx", "A 41004-2022")</f>
        <v/>
      </c>
      <c r="Y215">
        <f>HYPERLINK("https://klasma.github.io/Logging_1290/tillsynsmail/A 41004-2022 tillsynsbegäran mail.docx", "A 41004-2022")</f>
        <v/>
      </c>
    </row>
    <row r="216" ht="15" customHeight="1">
      <c r="A216" t="inlineStr">
        <is>
          <t>A 4251-2023</t>
        </is>
      </c>
      <c r="B216" s="1" t="n">
        <v>44953</v>
      </c>
      <c r="C216" s="1" t="n">
        <v>45962</v>
      </c>
      <c r="D216" t="inlineStr">
        <is>
          <t>SKÅNE LÄN</t>
        </is>
      </c>
      <c r="E216" t="inlineStr">
        <is>
          <t>ÖSTRA GÖINGE</t>
        </is>
      </c>
      <c r="G216" t="n">
        <v>6.4</v>
      </c>
      <c r="H216" t="n">
        <v>0</v>
      </c>
      <c r="I216" t="n">
        <v>0</v>
      </c>
      <c r="J216" t="n">
        <v>0</v>
      </c>
      <c r="K216" t="n">
        <v>0</v>
      </c>
      <c r="L216" t="n">
        <v>1</v>
      </c>
      <c r="M216" t="n">
        <v>0</v>
      </c>
      <c r="N216" t="n">
        <v>0</v>
      </c>
      <c r="O216" t="n">
        <v>1</v>
      </c>
      <c r="P216" t="n">
        <v>1</v>
      </c>
      <c r="Q216" t="n">
        <v>1</v>
      </c>
      <c r="R216" s="2" t="inlineStr">
        <is>
          <t>Ask</t>
        </is>
      </c>
      <c r="S216">
        <f>HYPERLINK("https://klasma.github.io/Logging_1256/artfynd/A 4251-2023 artfynd.xlsx", "A 4251-2023")</f>
        <v/>
      </c>
      <c r="T216">
        <f>HYPERLINK("https://klasma.github.io/Logging_1256/kartor/A 4251-2023 karta.png", "A 4251-2023")</f>
        <v/>
      </c>
      <c r="V216">
        <f>HYPERLINK("https://klasma.github.io/Logging_1256/klagomål/A 4251-2023 FSC-klagomål.docx", "A 4251-2023")</f>
        <v/>
      </c>
      <c r="W216">
        <f>HYPERLINK("https://klasma.github.io/Logging_1256/klagomålsmail/A 4251-2023 FSC-klagomål mail.docx", "A 4251-2023")</f>
        <v/>
      </c>
      <c r="X216">
        <f>HYPERLINK("https://klasma.github.io/Logging_1256/tillsyn/A 4251-2023 tillsynsbegäran.docx", "A 4251-2023")</f>
        <v/>
      </c>
      <c r="Y216">
        <f>HYPERLINK("https://klasma.github.io/Logging_1256/tillsynsmail/A 4251-2023 tillsynsbegäran mail.docx", "A 4251-2023")</f>
        <v/>
      </c>
    </row>
    <row r="217" ht="15" customHeight="1">
      <c r="A217" t="inlineStr">
        <is>
          <t>A 26965-2023</t>
        </is>
      </c>
      <c r="B217" s="1" t="n">
        <v>45093</v>
      </c>
      <c r="C217" s="1" t="n">
        <v>45962</v>
      </c>
      <c r="D217" t="inlineStr">
        <is>
          <t>SKÅNE LÄN</t>
        </is>
      </c>
      <c r="E217" t="inlineStr">
        <is>
          <t>KRISTIANSTAD</t>
        </is>
      </c>
      <c r="F217" t="inlineStr">
        <is>
          <t>Sveaskog</t>
        </is>
      </c>
      <c r="G217" t="n">
        <v>9.9</v>
      </c>
      <c r="H217" t="n">
        <v>0</v>
      </c>
      <c r="I217" t="n">
        <v>0</v>
      </c>
      <c r="J217" t="n">
        <v>0</v>
      </c>
      <c r="K217" t="n">
        <v>1</v>
      </c>
      <c r="L217" t="n">
        <v>0</v>
      </c>
      <c r="M217" t="n">
        <v>0</v>
      </c>
      <c r="N217" t="n">
        <v>0</v>
      </c>
      <c r="O217" t="n">
        <v>1</v>
      </c>
      <c r="P217" t="n">
        <v>1</v>
      </c>
      <c r="Q217" t="n">
        <v>1</v>
      </c>
      <c r="R217" s="2" t="inlineStr">
        <is>
          <t>Sjötåtel</t>
        </is>
      </c>
      <c r="S217">
        <f>HYPERLINK("https://klasma.github.io/Logging_1290/artfynd/A 26965-2023 artfynd.xlsx", "A 26965-2023")</f>
        <v/>
      </c>
      <c r="T217">
        <f>HYPERLINK("https://klasma.github.io/Logging_1290/kartor/A 26965-2023 karta.png", "A 26965-2023")</f>
        <v/>
      </c>
      <c r="V217">
        <f>HYPERLINK("https://klasma.github.io/Logging_1290/klagomål/A 26965-2023 FSC-klagomål.docx", "A 26965-2023")</f>
        <v/>
      </c>
      <c r="W217">
        <f>HYPERLINK("https://klasma.github.io/Logging_1290/klagomålsmail/A 26965-2023 FSC-klagomål mail.docx", "A 26965-2023")</f>
        <v/>
      </c>
      <c r="X217">
        <f>HYPERLINK("https://klasma.github.io/Logging_1290/tillsyn/A 26965-2023 tillsynsbegäran.docx", "A 26965-2023")</f>
        <v/>
      </c>
      <c r="Y217">
        <f>HYPERLINK("https://klasma.github.io/Logging_1290/tillsynsmail/A 26965-2023 tillsynsbegäran mail.docx", "A 26965-2023")</f>
        <v/>
      </c>
    </row>
    <row r="218" ht="15" customHeight="1">
      <c r="A218" t="inlineStr">
        <is>
          <t>A 32766-2021</t>
        </is>
      </c>
      <c r="B218" s="1" t="n">
        <v>44375</v>
      </c>
      <c r="C218" s="1" t="n">
        <v>45962</v>
      </c>
      <c r="D218" t="inlineStr">
        <is>
          <t>SKÅNE LÄN</t>
        </is>
      </c>
      <c r="E218" t="inlineStr">
        <is>
          <t>OSBY</t>
        </is>
      </c>
      <c r="G218" t="n">
        <v>1.9</v>
      </c>
      <c r="H218" t="n">
        <v>0</v>
      </c>
      <c r="I218" t="n">
        <v>1</v>
      </c>
      <c r="J218" t="n">
        <v>0</v>
      </c>
      <c r="K218" t="n">
        <v>0</v>
      </c>
      <c r="L218" t="n">
        <v>0</v>
      </c>
      <c r="M218" t="n">
        <v>0</v>
      </c>
      <c r="N218" t="n">
        <v>0</v>
      </c>
      <c r="O218" t="n">
        <v>0</v>
      </c>
      <c r="P218" t="n">
        <v>0</v>
      </c>
      <c r="Q218" t="n">
        <v>1</v>
      </c>
      <c r="R218" s="2" t="inlineStr">
        <is>
          <t>Smal svampklubba</t>
        </is>
      </c>
      <c r="S218">
        <f>HYPERLINK("https://klasma.github.io/Logging_1273/artfynd/A 32766-2021 artfynd.xlsx", "A 32766-2021")</f>
        <v/>
      </c>
      <c r="T218">
        <f>HYPERLINK("https://klasma.github.io/Logging_1273/kartor/A 32766-2021 karta.png", "A 32766-2021")</f>
        <v/>
      </c>
      <c r="V218">
        <f>HYPERLINK("https://klasma.github.io/Logging_1273/klagomål/A 32766-2021 FSC-klagomål.docx", "A 32766-2021")</f>
        <v/>
      </c>
      <c r="W218">
        <f>HYPERLINK("https://klasma.github.io/Logging_1273/klagomålsmail/A 32766-2021 FSC-klagomål mail.docx", "A 32766-2021")</f>
        <v/>
      </c>
      <c r="X218">
        <f>HYPERLINK("https://klasma.github.io/Logging_1273/tillsyn/A 32766-2021 tillsynsbegäran.docx", "A 32766-2021")</f>
        <v/>
      </c>
      <c r="Y218">
        <f>HYPERLINK("https://klasma.github.io/Logging_1273/tillsynsmail/A 32766-2021 tillsynsbegäran mail.docx", "A 32766-2021")</f>
        <v/>
      </c>
    </row>
    <row r="219" ht="15" customHeight="1">
      <c r="A219" t="inlineStr">
        <is>
          <t>A 34360-2023</t>
        </is>
      </c>
      <c r="B219" s="1" t="n">
        <v>45139</v>
      </c>
      <c r="C219" s="1" t="n">
        <v>45962</v>
      </c>
      <c r="D219" t="inlineStr">
        <is>
          <t>SKÅNE LÄN</t>
        </is>
      </c>
      <c r="E219" t="inlineStr">
        <is>
          <t>KRISTIANSTAD</t>
        </is>
      </c>
      <c r="G219" t="n">
        <v>2.2</v>
      </c>
      <c r="H219" t="n">
        <v>0</v>
      </c>
      <c r="I219" t="n">
        <v>0</v>
      </c>
      <c r="J219" t="n">
        <v>0</v>
      </c>
      <c r="K219" t="n">
        <v>1</v>
      </c>
      <c r="L219" t="n">
        <v>0</v>
      </c>
      <c r="M219" t="n">
        <v>0</v>
      </c>
      <c r="N219" t="n">
        <v>0</v>
      </c>
      <c r="O219" t="n">
        <v>1</v>
      </c>
      <c r="P219" t="n">
        <v>1</v>
      </c>
      <c r="Q219" t="n">
        <v>1</v>
      </c>
      <c r="R219" s="2" t="inlineStr">
        <is>
          <t>Småvänderot</t>
        </is>
      </c>
      <c r="S219">
        <f>HYPERLINK("https://klasma.github.io/Logging_1290/artfynd/A 34360-2023 artfynd.xlsx", "A 34360-2023")</f>
        <v/>
      </c>
      <c r="T219">
        <f>HYPERLINK("https://klasma.github.io/Logging_1290/kartor/A 34360-2023 karta.png", "A 34360-2023")</f>
        <v/>
      </c>
      <c r="V219">
        <f>HYPERLINK("https://klasma.github.io/Logging_1290/klagomål/A 34360-2023 FSC-klagomål.docx", "A 34360-2023")</f>
        <v/>
      </c>
      <c r="W219">
        <f>HYPERLINK("https://klasma.github.io/Logging_1290/klagomålsmail/A 34360-2023 FSC-klagomål mail.docx", "A 34360-2023")</f>
        <v/>
      </c>
      <c r="X219">
        <f>HYPERLINK("https://klasma.github.io/Logging_1290/tillsyn/A 34360-2023 tillsynsbegäran.docx", "A 34360-2023")</f>
        <v/>
      </c>
      <c r="Y219">
        <f>HYPERLINK("https://klasma.github.io/Logging_1290/tillsynsmail/A 34360-2023 tillsynsbegäran mail.docx", "A 34360-2023")</f>
        <v/>
      </c>
    </row>
    <row r="220" ht="15" customHeight="1">
      <c r="A220" t="inlineStr">
        <is>
          <t>A 61517-2022</t>
        </is>
      </c>
      <c r="B220" s="1" t="n">
        <v>44910</v>
      </c>
      <c r="C220" s="1" t="n">
        <v>45962</v>
      </c>
      <c r="D220" t="inlineStr">
        <is>
          <t>SKÅNE LÄN</t>
        </is>
      </c>
      <c r="E220" t="inlineStr">
        <is>
          <t>OSBY</t>
        </is>
      </c>
      <c r="F220" t="inlineStr">
        <is>
          <t>Kyrkan</t>
        </is>
      </c>
      <c r="G220" t="n">
        <v>4.4</v>
      </c>
      <c r="H220" t="n">
        <v>0</v>
      </c>
      <c r="I220" t="n">
        <v>1</v>
      </c>
      <c r="J220" t="n">
        <v>0</v>
      </c>
      <c r="K220" t="n">
        <v>0</v>
      </c>
      <c r="L220" t="n">
        <v>0</v>
      </c>
      <c r="M220" t="n">
        <v>0</v>
      </c>
      <c r="N220" t="n">
        <v>0</v>
      </c>
      <c r="O220" t="n">
        <v>0</v>
      </c>
      <c r="P220" t="n">
        <v>0</v>
      </c>
      <c r="Q220" t="n">
        <v>1</v>
      </c>
      <c r="R220" s="2" t="inlineStr">
        <is>
          <t>Blodticka</t>
        </is>
      </c>
      <c r="S220">
        <f>HYPERLINK("https://klasma.github.io/Logging_1273/artfynd/A 61517-2022 artfynd.xlsx", "A 61517-2022")</f>
        <v/>
      </c>
      <c r="T220">
        <f>HYPERLINK("https://klasma.github.io/Logging_1273/kartor/A 61517-2022 karta.png", "A 61517-2022")</f>
        <v/>
      </c>
      <c r="V220">
        <f>HYPERLINK("https://klasma.github.io/Logging_1273/klagomål/A 61517-2022 FSC-klagomål.docx", "A 61517-2022")</f>
        <v/>
      </c>
      <c r="W220">
        <f>HYPERLINK("https://klasma.github.io/Logging_1273/klagomålsmail/A 61517-2022 FSC-klagomål mail.docx", "A 61517-2022")</f>
        <v/>
      </c>
      <c r="X220">
        <f>HYPERLINK("https://klasma.github.io/Logging_1273/tillsyn/A 61517-2022 tillsynsbegäran.docx", "A 61517-2022")</f>
        <v/>
      </c>
      <c r="Y220">
        <f>HYPERLINK("https://klasma.github.io/Logging_1273/tillsynsmail/A 61517-2022 tillsynsbegäran mail.docx", "A 61517-2022")</f>
        <v/>
      </c>
    </row>
    <row r="221" ht="15" customHeight="1">
      <c r="A221" t="inlineStr">
        <is>
          <t>A 29272-2023</t>
        </is>
      </c>
      <c r="B221" s="1" t="n">
        <v>45105</v>
      </c>
      <c r="C221" s="1" t="n">
        <v>45962</v>
      </c>
      <c r="D221" t="inlineStr">
        <is>
          <t>SKÅNE LÄN</t>
        </is>
      </c>
      <c r="E221" t="inlineStr">
        <is>
          <t>HÄSSLEHOLM</t>
        </is>
      </c>
      <c r="G221" t="n">
        <v>2.2</v>
      </c>
      <c r="H221" t="n">
        <v>0</v>
      </c>
      <c r="I221" t="n">
        <v>1</v>
      </c>
      <c r="J221" t="n">
        <v>0</v>
      </c>
      <c r="K221" t="n">
        <v>0</v>
      </c>
      <c r="L221" t="n">
        <v>0</v>
      </c>
      <c r="M221" t="n">
        <v>0</v>
      </c>
      <c r="N221" t="n">
        <v>0</v>
      </c>
      <c r="O221" t="n">
        <v>0</v>
      </c>
      <c r="P221" t="n">
        <v>0</v>
      </c>
      <c r="Q221" t="n">
        <v>1</v>
      </c>
      <c r="R221" s="2" t="inlineStr">
        <is>
          <t>Sotlav</t>
        </is>
      </c>
      <c r="S221">
        <f>HYPERLINK("https://klasma.github.io/Logging_1293/artfynd/A 29272-2023 artfynd.xlsx", "A 29272-2023")</f>
        <v/>
      </c>
      <c r="T221">
        <f>HYPERLINK("https://klasma.github.io/Logging_1293/kartor/A 29272-2023 karta.png", "A 29272-2023")</f>
        <v/>
      </c>
      <c r="V221">
        <f>HYPERLINK("https://klasma.github.io/Logging_1293/klagomål/A 29272-2023 FSC-klagomål.docx", "A 29272-2023")</f>
        <v/>
      </c>
      <c r="W221">
        <f>HYPERLINK("https://klasma.github.io/Logging_1293/klagomålsmail/A 29272-2023 FSC-klagomål mail.docx", "A 29272-2023")</f>
        <v/>
      </c>
      <c r="X221">
        <f>HYPERLINK("https://klasma.github.io/Logging_1293/tillsyn/A 29272-2023 tillsynsbegäran.docx", "A 29272-2023")</f>
        <v/>
      </c>
      <c r="Y221">
        <f>HYPERLINK("https://klasma.github.io/Logging_1293/tillsynsmail/A 29272-2023 tillsynsbegäran mail.docx", "A 29272-2023")</f>
        <v/>
      </c>
    </row>
    <row r="222" ht="15" customHeight="1">
      <c r="A222" t="inlineStr">
        <is>
          <t>A 17396-2024</t>
        </is>
      </c>
      <c r="B222" s="1" t="n">
        <v>45414.69196759259</v>
      </c>
      <c r="C222" s="1" t="n">
        <v>45962</v>
      </c>
      <c r="D222" t="inlineStr">
        <is>
          <t>SKÅNE LÄN</t>
        </is>
      </c>
      <c r="E222" t="inlineStr">
        <is>
          <t>BROMÖLLA</t>
        </is>
      </c>
      <c r="G222" t="n">
        <v>1.8</v>
      </c>
      <c r="H222" t="n">
        <v>0</v>
      </c>
      <c r="I222" t="n">
        <v>1</v>
      </c>
      <c r="J222" t="n">
        <v>0</v>
      </c>
      <c r="K222" t="n">
        <v>0</v>
      </c>
      <c r="L222" t="n">
        <v>0</v>
      </c>
      <c r="M222" t="n">
        <v>0</v>
      </c>
      <c r="N222" t="n">
        <v>0</v>
      </c>
      <c r="O222" t="n">
        <v>0</v>
      </c>
      <c r="P222" t="n">
        <v>0</v>
      </c>
      <c r="Q222" t="n">
        <v>1</v>
      </c>
      <c r="R222" s="2" t="inlineStr">
        <is>
          <t>Safsa</t>
        </is>
      </c>
      <c r="S222">
        <f>HYPERLINK("https://klasma.github.io/Logging_1272/artfynd/A 17396-2024 artfynd.xlsx", "A 17396-2024")</f>
        <v/>
      </c>
      <c r="T222">
        <f>HYPERLINK("https://klasma.github.io/Logging_1272/kartor/A 17396-2024 karta.png", "A 17396-2024")</f>
        <v/>
      </c>
      <c r="V222">
        <f>HYPERLINK("https://klasma.github.io/Logging_1272/klagomål/A 17396-2024 FSC-klagomål.docx", "A 17396-2024")</f>
        <v/>
      </c>
      <c r="W222">
        <f>HYPERLINK("https://klasma.github.io/Logging_1272/klagomålsmail/A 17396-2024 FSC-klagomål mail.docx", "A 17396-2024")</f>
        <v/>
      </c>
      <c r="X222">
        <f>HYPERLINK("https://klasma.github.io/Logging_1272/tillsyn/A 17396-2024 tillsynsbegäran.docx", "A 17396-2024")</f>
        <v/>
      </c>
      <c r="Y222">
        <f>HYPERLINK("https://klasma.github.io/Logging_1272/tillsynsmail/A 17396-2024 tillsynsbegäran mail.docx", "A 17396-2024")</f>
        <v/>
      </c>
    </row>
    <row r="223" ht="15" customHeight="1">
      <c r="A223" t="inlineStr">
        <is>
          <t>A 1418-2024</t>
        </is>
      </c>
      <c r="B223" s="1" t="n">
        <v>45303</v>
      </c>
      <c r="C223" s="1" t="n">
        <v>45962</v>
      </c>
      <c r="D223" t="inlineStr">
        <is>
          <t>SKÅNE LÄN</t>
        </is>
      </c>
      <c r="E223" t="inlineStr">
        <is>
          <t>KRISTIANSTAD</t>
        </is>
      </c>
      <c r="F223" t="inlineStr">
        <is>
          <t>Övriga Aktiebolag</t>
        </is>
      </c>
      <c r="G223" t="n">
        <v>0.7</v>
      </c>
      <c r="H223" t="n">
        <v>0</v>
      </c>
      <c r="I223" t="n">
        <v>0</v>
      </c>
      <c r="J223" t="n">
        <v>1</v>
      </c>
      <c r="K223" t="n">
        <v>0</v>
      </c>
      <c r="L223" t="n">
        <v>0</v>
      </c>
      <c r="M223" t="n">
        <v>0</v>
      </c>
      <c r="N223" t="n">
        <v>0</v>
      </c>
      <c r="O223" t="n">
        <v>1</v>
      </c>
      <c r="P223" t="n">
        <v>0</v>
      </c>
      <c r="Q223" t="n">
        <v>1</v>
      </c>
      <c r="R223" s="2" t="inlineStr">
        <is>
          <t>Gropticka</t>
        </is>
      </c>
      <c r="S223">
        <f>HYPERLINK("https://klasma.github.io/Logging_1290/artfynd/A 1418-2024 artfynd.xlsx", "A 1418-2024")</f>
        <v/>
      </c>
      <c r="T223">
        <f>HYPERLINK("https://klasma.github.io/Logging_1290/kartor/A 1418-2024 karta.png", "A 1418-2024")</f>
        <v/>
      </c>
      <c r="V223">
        <f>HYPERLINK("https://klasma.github.io/Logging_1290/klagomål/A 1418-2024 FSC-klagomål.docx", "A 1418-2024")</f>
        <v/>
      </c>
      <c r="W223">
        <f>HYPERLINK("https://klasma.github.io/Logging_1290/klagomålsmail/A 1418-2024 FSC-klagomål mail.docx", "A 1418-2024")</f>
        <v/>
      </c>
      <c r="X223">
        <f>HYPERLINK("https://klasma.github.io/Logging_1290/tillsyn/A 1418-2024 tillsynsbegäran.docx", "A 1418-2024")</f>
        <v/>
      </c>
      <c r="Y223">
        <f>HYPERLINK("https://klasma.github.io/Logging_1290/tillsynsmail/A 1418-2024 tillsynsbegäran mail.docx", "A 1418-2024")</f>
        <v/>
      </c>
    </row>
    <row r="224" ht="15" customHeight="1">
      <c r="A224" t="inlineStr">
        <is>
          <t>A 389-2023</t>
        </is>
      </c>
      <c r="B224" s="1" t="n">
        <v>44929</v>
      </c>
      <c r="C224" s="1" t="n">
        <v>45962</v>
      </c>
      <c r="D224" t="inlineStr">
        <is>
          <t>SKÅNE LÄN</t>
        </is>
      </c>
      <c r="E224" t="inlineStr">
        <is>
          <t>BÅSTAD</t>
        </is>
      </c>
      <c r="G224" t="n">
        <v>2.5</v>
      </c>
      <c r="H224" t="n">
        <v>1</v>
      </c>
      <c r="I224" t="n">
        <v>0</v>
      </c>
      <c r="J224" t="n">
        <v>0</v>
      </c>
      <c r="K224" t="n">
        <v>0</v>
      </c>
      <c r="L224" t="n">
        <v>0</v>
      </c>
      <c r="M224" t="n">
        <v>0</v>
      </c>
      <c r="N224" t="n">
        <v>0</v>
      </c>
      <c r="O224" t="n">
        <v>0</v>
      </c>
      <c r="P224" t="n">
        <v>0</v>
      </c>
      <c r="Q224" t="n">
        <v>1</v>
      </c>
      <c r="R224" s="2" t="inlineStr">
        <is>
          <t>Grönvit nattviol</t>
        </is>
      </c>
      <c r="S224">
        <f>HYPERLINK("https://klasma.github.io/Logging_1278/artfynd/A 389-2023 artfynd.xlsx", "A 389-2023")</f>
        <v/>
      </c>
      <c r="T224">
        <f>HYPERLINK("https://klasma.github.io/Logging_1278/kartor/A 389-2023 karta.png", "A 389-2023")</f>
        <v/>
      </c>
      <c r="V224">
        <f>HYPERLINK("https://klasma.github.io/Logging_1278/klagomål/A 389-2023 FSC-klagomål.docx", "A 389-2023")</f>
        <v/>
      </c>
      <c r="W224">
        <f>HYPERLINK("https://klasma.github.io/Logging_1278/klagomålsmail/A 389-2023 FSC-klagomål mail.docx", "A 389-2023")</f>
        <v/>
      </c>
      <c r="X224">
        <f>HYPERLINK("https://klasma.github.io/Logging_1278/tillsyn/A 389-2023 tillsynsbegäran.docx", "A 389-2023")</f>
        <v/>
      </c>
      <c r="Y224">
        <f>HYPERLINK("https://klasma.github.io/Logging_1278/tillsynsmail/A 389-2023 tillsynsbegäran mail.docx", "A 389-2023")</f>
        <v/>
      </c>
    </row>
    <row r="225" ht="15" customHeight="1">
      <c r="A225" t="inlineStr">
        <is>
          <t>A 1577-2024</t>
        </is>
      </c>
      <c r="B225" s="1" t="n">
        <v>45306</v>
      </c>
      <c r="C225" s="1" t="n">
        <v>45962</v>
      </c>
      <c r="D225" t="inlineStr">
        <is>
          <t>SKÅNE LÄN</t>
        </is>
      </c>
      <c r="E225" t="inlineStr">
        <is>
          <t>SVALÖV</t>
        </is>
      </c>
      <c r="G225" t="n">
        <v>21.2</v>
      </c>
      <c r="H225" t="n">
        <v>1</v>
      </c>
      <c r="I225" t="n">
        <v>0</v>
      </c>
      <c r="J225" t="n">
        <v>0</v>
      </c>
      <c r="K225" t="n">
        <v>0</v>
      </c>
      <c r="L225" t="n">
        <v>0</v>
      </c>
      <c r="M225" t="n">
        <v>0</v>
      </c>
      <c r="N225" t="n">
        <v>0</v>
      </c>
      <c r="O225" t="n">
        <v>0</v>
      </c>
      <c r="P225" t="n">
        <v>0</v>
      </c>
      <c r="Q225" t="n">
        <v>1</v>
      </c>
      <c r="R225" s="2" t="inlineStr">
        <is>
          <t>Större vattensalamander</t>
        </is>
      </c>
      <c r="S225">
        <f>HYPERLINK("https://klasma.github.io/Logging_1214/artfynd/A 1577-2024 artfynd.xlsx", "A 1577-2024")</f>
        <v/>
      </c>
      <c r="T225">
        <f>HYPERLINK("https://klasma.github.io/Logging_1214/kartor/A 1577-2024 karta.png", "A 1577-2024")</f>
        <v/>
      </c>
      <c r="V225">
        <f>HYPERLINK("https://klasma.github.io/Logging_1214/klagomål/A 1577-2024 FSC-klagomål.docx", "A 1577-2024")</f>
        <v/>
      </c>
      <c r="W225">
        <f>HYPERLINK("https://klasma.github.io/Logging_1214/klagomålsmail/A 1577-2024 FSC-klagomål mail.docx", "A 1577-2024")</f>
        <v/>
      </c>
      <c r="X225">
        <f>HYPERLINK("https://klasma.github.io/Logging_1214/tillsyn/A 1577-2024 tillsynsbegäran.docx", "A 1577-2024")</f>
        <v/>
      </c>
      <c r="Y225">
        <f>HYPERLINK("https://klasma.github.io/Logging_1214/tillsynsmail/A 1577-2024 tillsynsbegäran mail.docx", "A 1577-2024")</f>
        <v/>
      </c>
    </row>
    <row r="226" ht="15" customHeight="1">
      <c r="A226" t="inlineStr">
        <is>
          <t>A 23403-2024</t>
        </is>
      </c>
      <c r="B226" s="1" t="n">
        <v>45453</v>
      </c>
      <c r="C226" s="1" t="n">
        <v>45962</v>
      </c>
      <c r="D226" t="inlineStr">
        <is>
          <t>SKÅNE LÄN</t>
        </is>
      </c>
      <c r="E226" t="inlineStr">
        <is>
          <t>KLIPPAN</t>
        </is>
      </c>
      <c r="G226" t="n">
        <v>9.1</v>
      </c>
      <c r="H226" t="n">
        <v>0</v>
      </c>
      <c r="I226" t="n">
        <v>0</v>
      </c>
      <c r="J226" t="n">
        <v>1</v>
      </c>
      <c r="K226" t="n">
        <v>0</v>
      </c>
      <c r="L226" t="n">
        <v>0</v>
      </c>
      <c r="M226" t="n">
        <v>0</v>
      </c>
      <c r="N226" t="n">
        <v>0</v>
      </c>
      <c r="O226" t="n">
        <v>1</v>
      </c>
      <c r="P226" t="n">
        <v>0</v>
      </c>
      <c r="Q226" t="n">
        <v>1</v>
      </c>
      <c r="R226" s="2" t="inlineStr">
        <is>
          <t>Vårstarr</t>
        </is>
      </c>
      <c r="S226">
        <f>HYPERLINK("https://klasma.github.io/Logging_1276/artfynd/A 23403-2024 artfynd.xlsx", "A 23403-2024")</f>
        <v/>
      </c>
      <c r="T226">
        <f>HYPERLINK("https://klasma.github.io/Logging_1276/kartor/A 23403-2024 karta.png", "A 23403-2024")</f>
        <v/>
      </c>
      <c r="V226">
        <f>HYPERLINK("https://klasma.github.io/Logging_1276/klagomål/A 23403-2024 FSC-klagomål.docx", "A 23403-2024")</f>
        <v/>
      </c>
      <c r="W226">
        <f>HYPERLINK("https://klasma.github.io/Logging_1276/klagomålsmail/A 23403-2024 FSC-klagomål mail.docx", "A 23403-2024")</f>
        <v/>
      </c>
      <c r="X226">
        <f>HYPERLINK("https://klasma.github.io/Logging_1276/tillsyn/A 23403-2024 tillsynsbegäran.docx", "A 23403-2024")</f>
        <v/>
      </c>
      <c r="Y226">
        <f>HYPERLINK("https://klasma.github.io/Logging_1276/tillsynsmail/A 23403-2024 tillsynsbegäran mail.docx", "A 23403-2024")</f>
        <v/>
      </c>
    </row>
    <row r="227" ht="15" customHeight="1">
      <c r="A227" t="inlineStr">
        <is>
          <t>A 46602-2023</t>
        </is>
      </c>
      <c r="B227" s="1" t="n">
        <v>45194</v>
      </c>
      <c r="C227" s="1" t="n">
        <v>45962</v>
      </c>
      <c r="D227" t="inlineStr">
        <is>
          <t>SKÅNE LÄN</t>
        </is>
      </c>
      <c r="E227" t="inlineStr">
        <is>
          <t>HÄSSLEHOLM</t>
        </is>
      </c>
      <c r="G227" t="n">
        <v>7.3</v>
      </c>
      <c r="H227" t="n">
        <v>0</v>
      </c>
      <c r="I227" t="n">
        <v>0</v>
      </c>
      <c r="J227" t="n">
        <v>0</v>
      </c>
      <c r="K227" t="n">
        <v>1</v>
      </c>
      <c r="L227" t="n">
        <v>0</v>
      </c>
      <c r="M227" t="n">
        <v>0</v>
      </c>
      <c r="N227" t="n">
        <v>0</v>
      </c>
      <c r="O227" t="n">
        <v>1</v>
      </c>
      <c r="P227" t="n">
        <v>1</v>
      </c>
      <c r="Q227" t="n">
        <v>1</v>
      </c>
      <c r="R227" s="2" t="inlineStr">
        <is>
          <t>Lungrot</t>
        </is>
      </c>
      <c r="S227">
        <f>HYPERLINK("https://klasma.github.io/Logging_1293/artfynd/A 46602-2023 artfynd.xlsx", "A 46602-2023")</f>
        <v/>
      </c>
      <c r="T227">
        <f>HYPERLINK("https://klasma.github.io/Logging_1293/kartor/A 46602-2023 karta.png", "A 46602-2023")</f>
        <v/>
      </c>
      <c r="V227">
        <f>HYPERLINK("https://klasma.github.io/Logging_1293/klagomål/A 46602-2023 FSC-klagomål.docx", "A 46602-2023")</f>
        <v/>
      </c>
      <c r="W227">
        <f>HYPERLINK("https://klasma.github.io/Logging_1293/klagomålsmail/A 46602-2023 FSC-klagomål mail.docx", "A 46602-2023")</f>
        <v/>
      </c>
      <c r="X227">
        <f>HYPERLINK("https://klasma.github.io/Logging_1293/tillsyn/A 46602-2023 tillsynsbegäran.docx", "A 46602-2023")</f>
        <v/>
      </c>
      <c r="Y227">
        <f>HYPERLINK("https://klasma.github.io/Logging_1293/tillsynsmail/A 46602-2023 tillsynsbegäran mail.docx", "A 46602-2023")</f>
        <v/>
      </c>
    </row>
    <row r="228" ht="15" customHeight="1">
      <c r="A228" t="inlineStr">
        <is>
          <t>A 11170-2023</t>
        </is>
      </c>
      <c r="B228" s="1" t="n">
        <v>44987</v>
      </c>
      <c r="C228" s="1" t="n">
        <v>45962</v>
      </c>
      <c r="D228" t="inlineStr">
        <is>
          <t>SKÅNE LÄN</t>
        </is>
      </c>
      <c r="E228" t="inlineStr">
        <is>
          <t>SVALÖV</t>
        </is>
      </c>
      <c r="G228" t="n">
        <v>0.9</v>
      </c>
      <c r="H228" t="n">
        <v>0</v>
      </c>
      <c r="I228" t="n">
        <v>0</v>
      </c>
      <c r="J228" t="n">
        <v>0</v>
      </c>
      <c r="K228" t="n">
        <v>0</v>
      </c>
      <c r="L228" t="n">
        <v>1</v>
      </c>
      <c r="M228" t="n">
        <v>0</v>
      </c>
      <c r="N228" t="n">
        <v>0</v>
      </c>
      <c r="O228" t="n">
        <v>1</v>
      </c>
      <c r="P228" t="n">
        <v>1</v>
      </c>
      <c r="Q228" t="n">
        <v>1</v>
      </c>
      <c r="R228" s="2" t="inlineStr">
        <is>
          <t>Korndådra</t>
        </is>
      </c>
      <c r="S228">
        <f>HYPERLINK("https://klasma.github.io/Logging_1214/artfynd/A 11170-2023 artfynd.xlsx", "A 11170-2023")</f>
        <v/>
      </c>
      <c r="T228">
        <f>HYPERLINK("https://klasma.github.io/Logging_1214/kartor/A 11170-2023 karta.png", "A 11170-2023")</f>
        <v/>
      </c>
      <c r="V228">
        <f>HYPERLINK("https://klasma.github.io/Logging_1214/klagomål/A 11170-2023 FSC-klagomål.docx", "A 11170-2023")</f>
        <v/>
      </c>
      <c r="W228">
        <f>HYPERLINK("https://klasma.github.io/Logging_1214/klagomålsmail/A 11170-2023 FSC-klagomål mail.docx", "A 11170-2023")</f>
        <v/>
      </c>
      <c r="X228">
        <f>HYPERLINK("https://klasma.github.io/Logging_1214/tillsyn/A 11170-2023 tillsynsbegäran.docx", "A 11170-2023")</f>
        <v/>
      </c>
      <c r="Y228">
        <f>HYPERLINK("https://klasma.github.io/Logging_1214/tillsynsmail/A 11170-2023 tillsynsbegäran mail.docx", "A 11170-2023")</f>
        <v/>
      </c>
    </row>
    <row r="229" ht="15" customHeight="1">
      <c r="A229" t="inlineStr">
        <is>
          <t>A 54424-2023</t>
        </is>
      </c>
      <c r="B229" s="1" t="n">
        <v>45233</v>
      </c>
      <c r="C229" s="1" t="n">
        <v>45962</v>
      </c>
      <c r="D229" t="inlineStr">
        <is>
          <t>SKÅNE LÄN</t>
        </is>
      </c>
      <c r="E229" t="inlineStr">
        <is>
          <t>SVALÖV</t>
        </is>
      </c>
      <c r="G229" t="n">
        <v>5.7</v>
      </c>
      <c r="H229" t="n">
        <v>0</v>
      </c>
      <c r="I229" t="n">
        <v>1</v>
      </c>
      <c r="J229" t="n">
        <v>0</v>
      </c>
      <c r="K229" t="n">
        <v>0</v>
      </c>
      <c r="L229" t="n">
        <v>0</v>
      </c>
      <c r="M229" t="n">
        <v>0</v>
      </c>
      <c r="N229" t="n">
        <v>0</v>
      </c>
      <c r="O229" t="n">
        <v>0</v>
      </c>
      <c r="P229" t="n">
        <v>0</v>
      </c>
      <c r="Q229" t="n">
        <v>1</v>
      </c>
      <c r="R229" s="2" t="inlineStr">
        <is>
          <t>Myskmadra</t>
        </is>
      </c>
      <c r="S229">
        <f>HYPERLINK("https://klasma.github.io/Logging_1214/artfynd/A 54424-2023 artfynd.xlsx", "A 54424-2023")</f>
        <v/>
      </c>
      <c r="T229">
        <f>HYPERLINK("https://klasma.github.io/Logging_1214/kartor/A 54424-2023 karta.png", "A 54424-2023")</f>
        <v/>
      </c>
      <c r="V229">
        <f>HYPERLINK("https://klasma.github.io/Logging_1214/klagomål/A 54424-2023 FSC-klagomål.docx", "A 54424-2023")</f>
        <v/>
      </c>
      <c r="W229">
        <f>HYPERLINK("https://klasma.github.io/Logging_1214/klagomålsmail/A 54424-2023 FSC-klagomål mail.docx", "A 54424-2023")</f>
        <v/>
      </c>
      <c r="X229">
        <f>HYPERLINK("https://klasma.github.io/Logging_1214/tillsyn/A 54424-2023 tillsynsbegäran.docx", "A 54424-2023")</f>
        <v/>
      </c>
      <c r="Y229">
        <f>HYPERLINK("https://klasma.github.io/Logging_1214/tillsynsmail/A 54424-2023 tillsynsbegäran mail.docx", "A 54424-2023")</f>
        <v/>
      </c>
    </row>
    <row r="230" ht="15" customHeight="1">
      <c r="A230" t="inlineStr">
        <is>
          <t>A 40376-2023</t>
        </is>
      </c>
      <c r="B230" s="1" t="n">
        <v>45169</v>
      </c>
      <c r="C230" s="1" t="n">
        <v>45962</v>
      </c>
      <c r="D230" t="inlineStr">
        <is>
          <t>SKÅNE LÄN</t>
        </is>
      </c>
      <c r="E230" t="inlineStr">
        <is>
          <t>HÖRBY</t>
        </is>
      </c>
      <c r="G230" t="n">
        <v>2.7</v>
      </c>
      <c r="H230" t="n">
        <v>1</v>
      </c>
      <c r="I230" t="n">
        <v>0</v>
      </c>
      <c r="J230" t="n">
        <v>1</v>
      </c>
      <c r="K230" t="n">
        <v>0</v>
      </c>
      <c r="L230" t="n">
        <v>0</v>
      </c>
      <c r="M230" t="n">
        <v>0</v>
      </c>
      <c r="N230" t="n">
        <v>0</v>
      </c>
      <c r="O230" t="n">
        <v>1</v>
      </c>
      <c r="P230" t="n">
        <v>0</v>
      </c>
      <c r="Q230" t="n">
        <v>1</v>
      </c>
      <c r="R230" s="2" t="inlineStr">
        <is>
          <t>Talltita</t>
        </is>
      </c>
      <c r="S230">
        <f>HYPERLINK("https://klasma.github.io/Logging_1266/artfynd/A 40376-2023 artfynd.xlsx", "A 40376-2023")</f>
        <v/>
      </c>
      <c r="T230">
        <f>HYPERLINK("https://klasma.github.io/Logging_1266/kartor/A 40376-2023 karta.png", "A 40376-2023")</f>
        <v/>
      </c>
      <c r="V230">
        <f>HYPERLINK("https://klasma.github.io/Logging_1266/klagomål/A 40376-2023 FSC-klagomål.docx", "A 40376-2023")</f>
        <v/>
      </c>
      <c r="W230">
        <f>HYPERLINK("https://klasma.github.io/Logging_1266/klagomålsmail/A 40376-2023 FSC-klagomål mail.docx", "A 40376-2023")</f>
        <v/>
      </c>
      <c r="X230">
        <f>HYPERLINK("https://klasma.github.io/Logging_1266/tillsyn/A 40376-2023 tillsynsbegäran.docx", "A 40376-2023")</f>
        <v/>
      </c>
      <c r="Y230">
        <f>HYPERLINK("https://klasma.github.io/Logging_1266/tillsynsmail/A 40376-2023 tillsynsbegäran mail.docx", "A 40376-2023")</f>
        <v/>
      </c>
      <c r="Z230">
        <f>HYPERLINK("https://klasma.github.io/Logging_1266/fåglar/A 40376-2023 prioriterade fågelarter.docx", "A 40376-2023")</f>
        <v/>
      </c>
    </row>
    <row r="231" ht="15" customHeight="1">
      <c r="A231" t="inlineStr">
        <is>
          <t>A 13766-2023</t>
        </is>
      </c>
      <c r="B231" s="1" t="n">
        <v>45007</v>
      </c>
      <c r="C231" s="1" t="n">
        <v>45962</v>
      </c>
      <c r="D231" t="inlineStr">
        <is>
          <t>SKÅNE LÄN</t>
        </is>
      </c>
      <c r="E231" t="inlineStr">
        <is>
          <t>YSTAD</t>
        </is>
      </c>
      <c r="G231" t="n">
        <v>0.9</v>
      </c>
      <c r="H231" t="n">
        <v>1</v>
      </c>
      <c r="I231" t="n">
        <v>0</v>
      </c>
      <c r="J231" t="n">
        <v>0</v>
      </c>
      <c r="K231" t="n">
        <v>0</v>
      </c>
      <c r="L231" t="n">
        <v>0</v>
      </c>
      <c r="M231" t="n">
        <v>0</v>
      </c>
      <c r="N231" t="n">
        <v>0</v>
      </c>
      <c r="O231" t="n">
        <v>0</v>
      </c>
      <c r="P231" t="n">
        <v>0</v>
      </c>
      <c r="Q231" t="n">
        <v>1</v>
      </c>
      <c r="R231" s="2" t="inlineStr">
        <is>
          <t>Större vattensalamander</t>
        </is>
      </c>
      <c r="S231">
        <f>HYPERLINK("https://klasma.github.io/Logging_1286/artfynd/A 13766-2023 artfynd.xlsx", "A 13766-2023")</f>
        <v/>
      </c>
      <c r="T231">
        <f>HYPERLINK("https://klasma.github.io/Logging_1286/kartor/A 13766-2023 karta.png", "A 13766-2023")</f>
        <v/>
      </c>
      <c r="V231">
        <f>HYPERLINK("https://klasma.github.io/Logging_1286/klagomål/A 13766-2023 FSC-klagomål.docx", "A 13766-2023")</f>
        <v/>
      </c>
      <c r="W231">
        <f>HYPERLINK("https://klasma.github.io/Logging_1286/klagomålsmail/A 13766-2023 FSC-klagomål mail.docx", "A 13766-2023")</f>
        <v/>
      </c>
      <c r="X231">
        <f>HYPERLINK("https://klasma.github.io/Logging_1286/tillsyn/A 13766-2023 tillsynsbegäran.docx", "A 13766-2023")</f>
        <v/>
      </c>
      <c r="Y231">
        <f>HYPERLINK("https://klasma.github.io/Logging_1286/tillsynsmail/A 13766-2023 tillsynsbegäran mail.docx", "A 13766-2023")</f>
        <v/>
      </c>
    </row>
    <row r="232" ht="15" customHeight="1">
      <c r="A232" t="inlineStr">
        <is>
          <t>A 6245-2024</t>
        </is>
      </c>
      <c r="B232" s="1" t="n">
        <v>45337</v>
      </c>
      <c r="C232" s="1" t="n">
        <v>45962</v>
      </c>
      <c r="D232" t="inlineStr">
        <is>
          <t>SKÅNE LÄN</t>
        </is>
      </c>
      <c r="E232" t="inlineStr">
        <is>
          <t>KRISTIANSTAD</t>
        </is>
      </c>
      <c r="F232" t="inlineStr">
        <is>
          <t>Övriga Aktiebolag</t>
        </is>
      </c>
      <c r="G232" t="n">
        <v>8.699999999999999</v>
      </c>
      <c r="H232" t="n">
        <v>0</v>
      </c>
      <c r="I232" t="n">
        <v>0</v>
      </c>
      <c r="J232" t="n">
        <v>0</v>
      </c>
      <c r="K232" t="n">
        <v>1</v>
      </c>
      <c r="L232" t="n">
        <v>0</v>
      </c>
      <c r="M232" t="n">
        <v>0</v>
      </c>
      <c r="N232" t="n">
        <v>0</v>
      </c>
      <c r="O232" t="n">
        <v>1</v>
      </c>
      <c r="P232" t="n">
        <v>1</v>
      </c>
      <c r="Q232" t="n">
        <v>1</v>
      </c>
      <c r="R232" s="2" t="inlineStr">
        <is>
          <t>Flenörtskapuschongfly</t>
        </is>
      </c>
      <c r="S232">
        <f>HYPERLINK("https://klasma.github.io/Logging_1290/artfynd/A 6245-2024 artfynd.xlsx", "A 6245-2024")</f>
        <v/>
      </c>
      <c r="T232">
        <f>HYPERLINK("https://klasma.github.io/Logging_1290/kartor/A 6245-2024 karta.png", "A 6245-2024")</f>
        <v/>
      </c>
      <c r="V232">
        <f>HYPERLINK("https://klasma.github.io/Logging_1290/klagomål/A 6245-2024 FSC-klagomål.docx", "A 6245-2024")</f>
        <v/>
      </c>
      <c r="W232">
        <f>HYPERLINK("https://klasma.github.io/Logging_1290/klagomålsmail/A 6245-2024 FSC-klagomål mail.docx", "A 6245-2024")</f>
        <v/>
      </c>
      <c r="X232">
        <f>HYPERLINK("https://klasma.github.io/Logging_1290/tillsyn/A 6245-2024 tillsynsbegäran.docx", "A 6245-2024")</f>
        <v/>
      </c>
      <c r="Y232">
        <f>HYPERLINK("https://klasma.github.io/Logging_1290/tillsynsmail/A 6245-2024 tillsynsbegäran mail.docx", "A 6245-2024")</f>
        <v/>
      </c>
    </row>
    <row r="233" ht="15" customHeight="1">
      <c r="A233" t="inlineStr">
        <is>
          <t>A 62140-2023</t>
        </is>
      </c>
      <c r="B233" s="1" t="n">
        <v>45267</v>
      </c>
      <c r="C233" s="1" t="n">
        <v>45962</v>
      </c>
      <c r="D233" t="inlineStr">
        <is>
          <t>SKÅNE LÄN</t>
        </is>
      </c>
      <c r="E233" t="inlineStr">
        <is>
          <t>ÖSTRA GÖINGE</t>
        </is>
      </c>
      <c r="G233" t="n">
        <v>1.5</v>
      </c>
      <c r="H233" t="n">
        <v>1</v>
      </c>
      <c r="I233" t="n">
        <v>0</v>
      </c>
      <c r="J233" t="n">
        <v>0</v>
      </c>
      <c r="K233" t="n">
        <v>0</v>
      </c>
      <c r="L233" t="n">
        <v>0</v>
      </c>
      <c r="M233" t="n">
        <v>0</v>
      </c>
      <c r="N233" t="n">
        <v>0</v>
      </c>
      <c r="O233" t="n">
        <v>0</v>
      </c>
      <c r="P233" t="n">
        <v>0</v>
      </c>
      <c r="Q233" t="n">
        <v>1</v>
      </c>
      <c r="R233" s="2" t="inlineStr">
        <is>
          <t>Grönvit nattviol</t>
        </is>
      </c>
      <c r="S233">
        <f>HYPERLINK("https://klasma.github.io/Logging_1256/artfynd/A 62140-2023 artfynd.xlsx", "A 62140-2023")</f>
        <v/>
      </c>
      <c r="T233">
        <f>HYPERLINK("https://klasma.github.io/Logging_1256/kartor/A 62140-2023 karta.png", "A 62140-2023")</f>
        <v/>
      </c>
      <c r="V233">
        <f>HYPERLINK("https://klasma.github.io/Logging_1256/klagomål/A 62140-2023 FSC-klagomål.docx", "A 62140-2023")</f>
        <v/>
      </c>
      <c r="W233">
        <f>HYPERLINK("https://klasma.github.io/Logging_1256/klagomålsmail/A 62140-2023 FSC-klagomål mail.docx", "A 62140-2023")</f>
        <v/>
      </c>
      <c r="X233">
        <f>HYPERLINK("https://klasma.github.io/Logging_1256/tillsyn/A 62140-2023 tillsynsbegäran.docx", "A 62140-2023")</f>
        <v/>
      </c>
      <c r="Y233">
        <f>HYPERLINK("https://klasma.github.io/Logging_1256/tillsynsmail/A 62140-2023 tillsynsbegäran mail.docx", "A 62140-2023")</f>
        <v/>
      </c>
    </row>
    <row r="234" ht="15" customHeight="1">
      <c r="A234" t="inlineStr">
        <is>
          <t>A 31722-2023</t>
        </is>
      </c>
      <c r="B234" s="1" t="n">
        <v>45117.91172453704</v>
      </c>
      <c r="C234" s="1" t="n">
        <v>45962</v>
      </c>
      <c r="D234" t="inlineStr">
        <is>
          <t>SKÅNE LÄN</t>
        </is>
      </c>
      <c r="E234" t="inlineStr">
        <is>
          <t>OSBY</t>
        </is>
      </c>
      <c r="G234" t="n">
        <v>0.6</v>
      </c>
      <c r="H234" t="n">
        <v>1</v>
      </c>
      <c r="I234" t="n">
        <v>0</v>
      </c>
      <c r="J234" t="n">
        <v>0</v>
      </c>
      <c r="K234" t="n">
        <v>0</v>
      </c>
      <c r="L234" t="n">
        <v>1</v>
      </c>
      <c r="M234" t="n">
        <v>0</v>
      </c>
      <c r="N234" t="n">
        <v>0</v>
      </c>
      <c r="O234" t="n">
        <v>1</v>
      </c>
      <c r="P234" t="n">
        <v>1</v>
      </c>
      <c r="Q234" t="n">
        <v>1</v>
      </c>
      <c r="R234" s="2" t="inlineStr">
        <is>
          <t>Klockgentiana</t>
        </is>
      </c>
      <c r="S234">
        <f>HYPERLINK("https://klasma.github.io/Logging_1273/artfynd/A 31722-2023 artfynd.xlsx", "A 31722-2023")</f>
        <v/>
      </c>
      <c r="T234">
        <f>HYPERLINK("https://klasma.github.io/Logging_1273/kartor/A 31722-2023 karta.png", "A 31722-2023")</f>
        <v/>
      </c>
      <c r="V234">
        <f>HYPERLINK("https://klasma.github.io/Logging_1273/klagomål/A 31722-2023 FSC-klagomål.docx", "A 31722-2023")</f>
        <v/>
      </c>
      <c r="W234">
        <f>HYPERLINK("https://klasma.github.io/Logging_1273/klagomålsmail/A 31722-2023 FSC-klagomål mail.docx", "A 31722-2023")</f>
        <v/>
      </c>
      <c r="X234">
        <f>HYPERLINK("https://klasma.github.io/Logging_1273/tillsyn/A 31722-2023 tillsynsbegäran.docx", "A 31722-2023")</f>
        <v/>
      </c>
      <c r="Y234">
        <f>HYPERLINK("https://klasma.github.io/Logging_1273/tillsynsmail/A 31722-2023 tillsynsbegäran mail.docx", "A 31722-2023")</f>
        <v/>
      </c>
    </row>
    <row r="235" ht="15" customHeight="1">
      <c r="A235" t="inlineStr">
        <is>
          <t>A 7433-2025</t>
        </is>
      </c>
      <c r="B235" s="1" t="n">
        <v>45702</v>
      </c>
      <c r="C235" s="1" t="n">
        <v>45962</v>
      </c>
      <c r="D235" t="inlineStr">
        <is>
          <t>SKÅNE LÄN</t>
        </is>
      </c>
      <c r="E235" t="inlineStr">
        <is>
          <t>KRISTIANSTAD</t>
        </is>
      </c>
      <c r="F235" t="inlineStr">
        <is>
          <t>Kyrkan</t>
        </is>
      </c>
      <c r="G235" t="n">
        <v>15.6</v>
      </c>
      <c r="H235" t="n">
        <v>1</v>
      </c>
      <c r="I235" t="n">
        <v>0</v>
      </c>
      <c r="J235" t="n">
        <v>0</v>
      </c>
      <c r="K235" t="n">
        <v>1</v>
      </c>
      <c r="L235" t="n">
        <v>0</v>
      </c>
      <c r="M235" t="n">
        <v>0</v>
      </c>
      <c r="N235" t="n">
        <v>0</v>
      </c>
      <c r="O235" t="n">
        <v>1</v>
      </c>
      <c r="P235" t="n">
        <v>1</v>
      </c>
      <c r="Q235" t="n">
        <v>1</v>
      </c>
      <c r="R235" s="2" t="inlineStr">
        <is>
          <t>Hedblomster</t>
        </is>
      </c>
      <c r="S235">
        <f>HYPERLINK("https://klasma.github.io/Logging_1290/artfynd/A 7433-2025 artfynd.xlsx", "A 7433-2025")</f>
        <v/>
      </c>
      <c r="T235">
        <f>HYPERLINK("https://klasma.github.io/Logging_1290/kartor/A 7433-2025 karta.png", "A 7433-2025")</f>
        <v/>
      </c>
      <c r="V235">
        <f>HYPERLINK("https://klasma.github.io/Logging_1290/klagomål/A 7433-2025 FSC-klagomål.docx", "A 7433-2025")</f>
        <v/>
      </c>
      <c r="W235">
        <f>HYPERLINK("https://klasma.github.io/Logging_1290/klagomålsmail/A 7433-2025 FSC-klagomål mail.docx", "A 7433-2025")</f>
        <v/>
      </c>
      <c r="X235">
        <f>HYPERLINK("https://klasma.github.io/Logging_1290/tillsyn/A 7433-2025 tillsynsbegäran.docx", "A 7433-2025")</f>
        <v/>
      </c>
      <c r="Y235">
        <f>HYPERLINK("https://klasma.github.io/Logging_1290/tillsynsmail/A 7433-2025 tillsynsbegäran mail.docx", "A 7433-2025")</f>
        <v/>
      </c>
    </row>
    <row r="236" ht="15" customHeight="1">
      <c r="A236" t="inlineStr">
        <is>
          <t>A 18539-2022</t>
        </is>
      </c>
      <c r="B236" s="1" t="n">
        <v>44686</v>
      </c>
      <c r="C236" s="1" t="n">
        <v>45962</v>
      </c>
      <c r="D236" t="inlineStr">
        <is>
          <t>SKÅNE LÄN</t>
        </is>
      </c>
      <c r="E236" t="inlineStr">
        <is>
          <t>KRISTIANSTAD</t>
        </is>
      </c>
      <c r="G236" t="n">
        <v>4.3</v>
      </c>
      <c r="H236" t="n">
        <v>0</v>
      </c>
      <c r="I236" t="n">
        <v>0</v>
      </c>
      <c r="J236" t="n">
        <v>1</v>
      </c>
      <c r="K236" t="n">
        <v>0</v>
      </c>
      <c r="L236" t="n">
        <v>0</v>
      </c>
      <c r="M236" t="n">
        <v>0</v>
      </c>
      <c r="N236" t="n">
        <v>0</v>
      </c>
      <c r="O236" t="n">
        <v>1</v>
      </c>
      <c r="P236" t="n">
        <v>0</v>
      </c>
      <c r="Q236" t="n">
        <v>1</v>
      </c>
      <c r="R236" s="2" t="inlineStr">
        <is>
          <t>Skogslysing</t>
        </is>
      </c>
      <c r="S236">
        <f>HYPERLINK("https://klasma.github.io/Logging_1290/artfynd/A 18539-2022 artfynd.xlsx", "A 18539-2022")</f>
        <v/>
      </c>
      <c r="T236">
        <f>HYPERLINK("https://klasma.github.io/Logging_1290/kartor/A 18539-2022 karta.png", "A 18539-2022")</f>
        <v/>
      </c>
      <c r="V236">
        <f>HYPERLINK("https://klasma.github.io/Logging_1290/klagomål/A 18539-2022 FSC-klagomål.docx", "A 18539-2022")</f>
        <v/>
      </c>
      <c r="W236">
        <f>HYPERLINK("https://klasma.github.io/Logging_1290/klagomålsmail/A 18539-2022 FSC-klagomål mail.docx", "A 18539-2022")</f>
        <v/>
      </c>
      <c r="X236">
        <f>HYPERLINK("https://klasma.github.io/Logging_1290/tillsyn/A 18539-2022 tillsynsbegäran.docx", "A 18539-2022")</f>
        <v/>
      </c>
      <c r="Y236">
        <f>HYPERLINK("https://klasma.github.io/Logging_1290/tillsynsmail/A 18539-2022 tillsynsbegäran mail.docx", "A 18539-2022")</f>
        <v/>
      </c>
    </row>
    <row r="237" ht="15" customHeight="1">
      <c r="A237" t="inlineStr">
        <is>
          <t>A 30721-2021</t>
        </is>
      </c>
      <c r="B237" s="1" t="n">
        <v>44365</v>
      </c>
      <c r="C237" s="1" t="n">
        <v>45962</v>
      </c>
      <c r="D237" t="inlineStr">
        <is>
          <t>SKÅNE LÄN</t>
        </is>
      </c>
      <c r="E237" t="inlineStr">
        <is>
          <t>KLIPPAN</t>
        </is>
      </c>
      <c r="G237" t="n">
        <v>0.4</v>
      </c>
      <c r="H237" t="n">
        <v>0</v>
      </c>
      <c r="I237" t="n">
        <v>1</v>
      </c>
      <c r="J237" t="n">
        <v>0</v>
      </c>
      <c r="K237" t="n">
        <v>0</v>
      </c>
      <c r="L237" t="n">
        <v>0</v>
      </c>
      <c r="M237" t="n">
        <v>0</v>
      </c>
      <c r="N237" t="n">
        <v>0</v>
      </c>
      <c r="O237" t="n">
        <v>0</v>
      </c>
      <c r="P237" t="n">
        <v>0</v>
      </c>
      <c r="Q237" t="n">
        <v>1</v>
      </c>
      <c r="R237" s="2" t="inlineStr">
        <is>
          <t>Brandticka</t>
        </is>
      </c>
      <c r="S237">
        <f>HYPERLINK("https://klasma.github.io/Logging_1276/artfynd/A 30721-2021 artfynd.xlsx", "A 30721-2021")</f>
        <v/>
      </c>
      <c r="T237">
        <f>HYPERLINK("https://klasma.github.io/Logging_1276/kartor/A 30721-2021 karta.png", "A 30721-2021")</f>
        <v/>
      </c>
      <c r="V237">
        <f>HYPERLINK("https://klasma.github.io/Logging_1276/klagomål/A 30721-2021 FSC-klagomål.docx", "A 30721-2021")</f>
        <v/>
      </c>
      <c r="W237">
        <f>HYPERLINK("https://klasma.github.io/Logging_1276/klagomålsmail/A 30721-2021 FSC-klagomål mail.docx", "A 30721-2021")</f>
        <v/>
      </c>
      <c r="X237">
        <f>HYPERLINK("https://klasma.github.io/Logging_1276/tillsyn/A 30721-2021 tillsynsbegäran.docx", "A 30721-2021")</f>
        <v/>
      </c>
      <c r="Y237">
        <f>HYPERLINK("https://klasma.github.io/Logging_1276/tillsynsmail/A 30721-2021 tillsynsbegäran mail.docx", "A 30721-2021")</f>
        <v/>
      </c>
    </row>
    <row r="238" ht="15" customHeight="1">
      <c r="A238" t="inlineStr">
        <is>
          <t>A 61707-2024</t>
        </is>
      </c>
      <c r="B238" s="1" t="n">
        <v>45648.61747685185</v>
      </c>
      <c r="C238" s="1" t="n">
        <v>45962</v>
      </c>
      <c r="D238" t="inlineStr">
        <is>
          <t>SKÅNE LÄN</t>
        </is>
      </c>
      <c r="E238" t="inlineStr">
        <is>
          <t>HÄSSLEHOLM</t>
        </is>
      </c>
      <c r="G238" t="n">
        <v>3.2</v>
      </c>
      <c r="H238" t="n">
        <v>0</v>
      </c>
      <c r="I238" t="n">
        <v>0</v>
      </c>
      <c r="J238" t="n">
        <v>1</v>
      </c>
      <c r="K238" t="n">
        <v>0</v>
      </c>
      <c r="L238" t="n">
        <v>0</v>
      </c>
      <c r="M238" t="n">
        <v>0</v>
      </c>
      <c r="N238" t="n">
        <v>0</v>
      </c>
      <c r="O238" t="n">
        <v>1</v>
      </c>
      <c r="P238" t="n">
        <v>0</v>
      </c>
      <c r="Q238" t="n">
        <v>1</v>
      </c>
      <c r="R238" s="2" t="inlineStr">
        <is>
          <t>Rödlånke</t>
        </is>
      </c>
      <c r="S238">
        <f>HYPERLINK("https://klasma.github.io/Logging_1293/artfynd/A 61707-2024 artfynd.xlsx", "A 61707-2024")</f>
        <v/>
      </c>
      <c r="T238">
        <f>HYPERLINK("https://klasma.github.io/Logging_1293/kartor/A 61707-2024 karta.png", "A 61707-2024")</f>
        <v/>
      </c>
      <c r="V238">
        <f>HYPERLINK("https://klasma.github.io/Logging_1293/klagomål/A 61707-2024 FSC-klagomål.docx", "A 61707-2024")</f>
        <v/>
      </c>
      <c r="W238">
        <f>HYPERLINK("https://klasma.github.io/Logging_1293/klagomålsmail/A 61707-2024 FSC-klagomål mail.docx", "A 61707-2024")</f>
        <v/>
      </c>
      <c r="X238">
        <f>HYPERLINK("https://klasma.github.io/Logging_1293/tillsyn/A 61707-2024 tillsynsbegäran.docx", "A 61707-2024")</f>
        <v/>
      </c>
      <c r="Y238">
        <f>HYPERLINK("https://klasma.github.io/Logging_1293/tillsynsmail/A 61707-2024 tillsynsbegäran mail.docx", "A 61707-2024")</f>
        <v/>
      </c>
    </row>
    <row r="239" ht="15" customHeight="1">
      <c r="A239" t="inlineStr">
        <is>
          <t>A 61738-2024</t>
        </is>
      </c>
      <c r="B239" s="1" t="n">
        <v>45649.36887731482</v>
      </c>
      <c r="C239" s="1" t="n">
        <v>45962</v>
      </c>
      <c r="D239" t="inlineStr">
        <is>
          <t>SKÅNE LÄN</t>
        </is>
      </c>
      <c r="E239" t="inlineStr">
        <is>
          <t>OSBY</t>
        </is>
      </c>
      <c r="G239" t="n">
        <v>3.7</v>
      </c>
      <c r="H239" t="n">
        <v>1</v>
      </c>
      <c r="I239" t="n">
        <v>0</v>
      </c>
      <c r="J239" t="n">
        <v>0</v>
      </c>
      <c r="K239" t="n">
        <v>0</v>
      </c>
      <c r="L239" t="n">
        <v>0</v>
      </c>
      <c r="M239" t="n">
        <v>0</v>
      </c>
      <c r="N239" t="n">
        <v>0</v>
      </c>
      <c r="O239" t="n">
        <v>0</v>
      </c>
      <c r="P239" t="n">
        <v>0</v>
      </c>
      <c r="Q239" t="n">
        <v>1</v>
      </c>
      <c r="R239" s="2" t="inlineStr">
        <is>
          <t>Vanlig snok</t>
        </is>
      </c>
      <c r="S239">
        <f>HYPERLINK("https://klasma.github.io/Logging_1273/artfynd/A 61738-2024 artfynd.xlsx", "A 61738-2024")</f>
        <v/>
      </c>
      <c r="T239">
        <f>HYPERLINK("https://klasma.github.io/Logging_1273/kartor/A 61738-2024 karta.png", "A 61738-2024")</f>
        <v/>
      </c>
      <c r="V239">
        <f>HYPERLINK("https://klasma.github.io/Logging_1273/klagomål/A 61738-2024 FSC-klagomål.docx", "A 61738-2024")</f>
        <v/>
      </c>
      <c r="W239">
        <f>HYPERLINK("https://klasma.github.io/Logging_1273/klagomålsmail/A 61738-2024 FSC-klagomål mail.docx", "A 61738-2024")</f>
        <v/>
      </c>
      <c r="X239">
        <f>HYPERLINK("https://klasma.github.io/Logging_1273/tillsyn/A 61738-2024 tillsynsbegäran.docx", "A 61738-2024")</f>
        <v/>
      </c>
      <c r="Y239">
        <f>HYPERLINK("https://klasma.github.io/Logging_1273/tillsynsmail/A 61738-2024 tillsynsbegäran mail.docx", "A 61738-2024")</f>
        <v/>
      </c>
    </row>
    <row r="240" ht="15" customHeight="1">
      <c r="A240" t="inlineStr">
        <is>
          <t>A 22569-2024</t>
        </is>
      </c>
      <c r="B240" s="1" t="n">
        <v>45447.56391203704</v>
      </c>
      <c r="C240" s="1" t="n">
        <v>45962</v>
      </c>
      <c r="D240" t="inlineStr">
        <is>
          <t>SKÅNE LÄN</t>
        </is>
      </c>
      <c r="E240" t="inlineStr">
        <is>
          <t>HÖÖR</t>
        </is>
      </c>
      <c r="G240" t="n">
        <v>2.2</v>
      </c>
      <c r="H240" t="n">
        <v>1</v>
      </c>
      <c r="I240" t="n">
        <v>0</v>
      </c>
      <c r="J240" t="n">
        <v>1</v>
      </c>
      <c r="K240" t="n">
        <v>0</v>
      </c>
      <c r="L240" t="n">
        <v>0</v>
      </c>
      <c r="M240" t="n">
        <v>0</v>
      </c>
      <c r="N240" t="n">
        <v>0</v>
      </c>
      <c r="O240" t="n">
        <v>1</v>
      </c>
      <c r="P240" t="n">
        <v>0</v>
      </c>
      <c r="Q240" t="n">
        <v>1</v>
      </c>
      <c r="R240" s="2" t="inlineStr">
        <is>
          <t>Spillkråka</t>
        </is>
      </c>
      <c r="S240">
        <f>HYPERLINK("https://klasma.github.io/Logging_1267/artfynd/A 22569-2024 artfynd.xlsx", "A 22569-2024")</f>
        <v/>
      </c>
      <c r="T240">
        <f>HYPERLINK("https://klasma.github.io/Logging_1267/kartor/A 22569-2024 karta.png", "A 22569-2024")</f>
        <v/>
      </c>
      <c r="V240">
        <f>HYPERLINK("https://klasma.github.io/Logging_1267/klagomål/A 22569-2024 FSC-klagomål.docx", "A 22569-2024")</f>
        <v/>
      </c>
      <c r="W240">
        <f>HYPERLINK("https://klasma.github.io/Logging_1267/klagomålsmail/A 22569-2024 FSC-klagomål mail.docx", "A 22569-2024")</f>
        <v/>
      </c>
      <c r="X240">
        <f>HYPERLINK("https://klasma.github.io/Logging_1267/tillsyn/A 22569-2024 tillsynsbegäran.docx", "A 22569-2024")</f>
        <v/>
      </c>
      <c r="Y240">
        <f>HYPERLINK("https://klasma.github.io/Logging_1267/tillsynsmail/A 22569-2024 tillsynsbegäran mail.docx", "A 22569-2024")</f>
        <v/>
      </c>
      <c r="Z240">
        <f>HYPERLINK("https://klasma.github.io/Logging_1267/fåglar/A 22569-2024 prioriterade fågelarter.docx", "A 22569-2024")</f>
        <v/>
      </c>
    </row>
    <row r="241" ht="15" customHeight="1">
      <c r="A241" t="inlineStr">
        <is>
          <t>A 113-2023</t>
        </is>
      </c>
      <c r="B241" s="1" t="n">
        <v>44928</v>
      </c>
      <c r="C241" s="1" t="n">
        <v>45962</v>
      </c>
      <c r="D241" t="inlineStr">
        <is>
          <t>SKÅNE LÄN</t>
        </is>
      </c>
      <c r="E241" t="inlineStr">
        <is>
          <t>HÖRBY</t>
        </is>
      </c>
      <c r="G241" t="n">
        <v>5.1</v>
      </c>
      <c r="H241" t="n">
        <v>0</v>
      </c>
      <c r="I241" t="n">
        <v>0</v>
      </c>
      <c r="J241" t="n">
        <v>0</v>
      </c>
      <c r="K241" t="n">
        <v>1</v>
      </c>
      <c r="L241" t="n">
        <v>0</v>
      </c>
      <c r="M241" t="n">
        <v>0</v>
      </c>
      <c r="N241" t="n">
        <v>0</v>
      </c>
      <c r="O241" t="n">
        <v>1</v>
      </c>
      <c r="P241" t="n">
        <v>1</v>
      </c>
      <c r="Q241" t="n">
        <v>1</v>
      </c>
      <c r="R241" s="2" t="inlineStr">
        <is>
          <t>Slåttergubbe</t>
        </is>
      </c>
      <c r="S241">
        <f>HYPERLINK("https://klasma.github.io/Logging_1266/artfynd/A 113-2023 artfynd.xlsx", "A 113-2023")</f>
        <v/>
      </c>
      <c r="T241">
        <f>HYPERLINK("https://klasma.github.io/Logging_1266/kartor/A 113-2023 karta.png", "A 113-2023")</f>
        <v/>
      </c>
      <c r="V241">
        <f>HYPERLINK("https://klasma.github.io/Logging_1266/klagomål/A 113-2023 FSC-klagomål.docx", "A 113-2023")</f>
        <v/>
      </c>
      <c r="W241">
        <f>HYPERLINK("https://klasma.github.io/Logging_1266/klagomålsmail/A 113-2023 FSC-klagomål mail.docx", "A 113-2023")</f>
        <v/>
      </c>
      <c r="X241">
        <f>HYPERLINK("https://klasma.github.io/Logging_1266/tillsyn/A 113-2023 tillsynsbegäran.docx", "A 113-2023")</f>
        <v/>
      </c>
      <c r="Y241">
        <f>HYPERLINK("https://klasma.github.io/Logging_1266/tillsynsmail/A 113-2023 tillsynsbegäran mail.docx", "A 113-2023")</f>
        <v/>
      </c>
    </row>
    <row r="242" ht="15" customHeight="1">
      <c r="A242" t="inlineStr">
        <is>
          <t>A 7054-2024</t>
        </is>
      </c>
      <c r="B242" s="1" t="n">
        <v>45343</v>
      </c>
      <c r="C242" s="1" t="n">
        <v>45962</v>
      </c>
      <c r="D242" t="inlineStr">
        <is>
          <t>SKÅNE LÄN</t>
        </is>
      </c>
      <c r="E242" t="inlineStr">
        <is>
          <t>KRISTIANSTAD</t>
        </is>
      </c>
      <c r="F242" t="inlineStr">
        <is>
          <t>Sveaskog</t>
        </is>
      </c>
      <c r="G242" t="n">
        <v>0.4</v>
      </c>
      <c r="H242" t="n">
        <v>1</v>
      </c>
      <c r="I242" t="n">
        <v>0</v>
      </c>
      <c r="J242" t="n">
        <v>0</v>
      </c>
      <c r="K242" t="n">
        <v>0</v>
      </c>
      <c r="L242" t="n">
        <v>0</v>
      </c>
      <c r="M242" t="n">
        <v>0</v>
      </c>
      <c r="N242" t="n">
        <v>0</v>
      </c>
      <c r="O242" t="n">
        <v>0</v>
      </c>
      <c r="P242" t="n">
        <v>0</v>
      </c>
      <c r="Q242" t="n">
        <v>1</v>
      </c>
      <c r="R242" s="2" t="inlineStr">
        <is>
          <t>Törnskata</t>
        </is>
      </c>
      <c r="S242">
        <f>HYPERLINK("https://klasma.github.io/Logging_1290/artfynd/A 7054-2024 artfynd.xlsx", "A 7054-2024")</f>
        <v/>
      </c>
      <c r="T242">
        <f>HYPERLINK("https://klasma.github.io/Logging_1290/kartor/A 7054-2024 karta.png", "A 7054-2024")</f>
        <v/>
      </c>
      <c r="V242">
        <f>HYPERLINK("https://klasma.github.io/Logging_1290/klagomål/A 7054-2024 FSC-klagomål.docx", "A 7054-2024")</f>
        <v/>
      </c>
      <c r="W242">
        <f>HYPERLINK("https://klasma.github.io/Logging_1290/klagomålsmail/A 7054-2024 FSC-klagomål mail.docx", "A 7054-2024")</f>
        <v/>
      </c>
      <c r="X242">
        <f>HYPERLINK("https://klasma.github.io/Logging_1290/tillsyn/A 7054-2024 tillsynsbegäran.docx", "A 7054-2024")</f>
        <v/>
      </c>
      <c r="Y242">
        <f>HYPERLINK("https://klasma.github.io/Logging_1290/tillsynsmail/A 7054-2024 tillsynsbegäran mail.docx", "A 7054-2024")</f>
        <v/>
      </c>
      <c r="Z242">
        <f>HYPERLINK("https://klasma.github.io/Logging_1290/fåglar/A 7054-2024 prioriterade fågelarter.docx", "A 7054-2024")</f>
        <v/>
      </c>
    </row>
    <row r="243" ht="15" customHeight="1">
      <c r="A243" t="inlineStr">
        <is>
          <t>A 12026-2023</t>
        </is>
      </c>
      <c r="B243" s="1" t="n">
        <v>44995</v>
      </c>
      <c r="C243" s="1" t="n">
        <v>45962</v>
      </c>
      <c r="D243" t="inlineStr">
        <is>
          <t>SKÅNE LÄN</t>
        </is>
      </c>
      <c r="E243" t="inlineStr">
        <is>
          <t>LOMMA</t>
        </is>
      </c>
      <c r="G243" t="n">
        <v>0.5</v>
      </c>
      <c r="H243" t="n">
        <v>1</v>
      </c>
      <c r="I243" t="n">
        <v>0</v>
      </c>
      <c r="J243" t="n">
        <v>0</v>
      </c>
      <c r="K243" t="n">
        <v>1</v>
      </c>
      <c r="L243" t="n">
        <v>0</v>
      </c>
      <c r="M243" t="n">
        <v>0</v>
      </c>
      <c r="N243" t="n">
        <v>0</v>
      </c>
      <c r="O243" t="n">
        <v>1</v>
      </c>
      <c r="P243" t="n">
        <v>1</v>
      </c>
      <c r="Q243" t="n">
        <v>1</v>
      </c>
      <c r="R243" s="2" t="inlineStr">
        <is>
          <t>Hedblomster</t>
        </is>
      </c>
      <c r="S243">
        <f>HYPERLINK("https://klasma.github.io/Logging_1262/artfynd/A 12026-2023 artfynd.xlsx", "A 12026-2023")</f>
        <v/>
      </c>
      <c r="T243">
        <f>HYPERLINK("https://klasma.github.io/Logging_1262/kartor/A 12026-2023 karta.png", "A 12026-2023")</f>
        <v/>
      </c>
      <c r="V243">
        <f>HYPERLINK("https://klasma.github.io/Logging_1262/klagomål/A 12026-2023 FSC-klagomål.docx", "A 12026-2023")</f>
        <v/>
      </c>
      <c r="W243">
        <f>HYPERLINK("https://klasma.github.io/Logging_1262/klagomålsmail/A 12026-2023 FSC-klagomål mail.docx", "A 12026-2023")</f>
        <v/>
      </c>
      <c r="X243">
        <f>HYPERLINK("https://klasma.github.io/Logging_1262/tillsyn/A 12026-2023 tillsynsbegäran.docx", "A 12026-2023")</f>
        <v/>
      </c>
      <c r="Y243">
        <f>HYPERLINK("https://klasma.github.io/Logging_1262/tillsynsmail/A 12026-2023 tillsynsbegäran mail.docx", "A 12026-2023")</f>
        <v/>
      </c>
    </row>
    <row r="244" ht="15" customHeight="1">
      <c r="A244" t="inlineStr">
        <is>
          <t>A 11732-2024</t>
        </is>
      </c>
      <c r="B244" s="1" t="n">
        <v>45373.69222222222</v>
      </c>
      <c r="C244" s="1" t="n">
        <v>45962</v>
      </c>
      <c r="D244" t="inlineStr">
        <is>
          <t>SKÅNE LÄN</t>
        </is>
      </c>
      <c r="E244" t="inlineStr">
        <is>
          <t>LUND</t>
        </is>
      </c>
      <c r="G244" t="n">
        <v>2.8</v>
      </c>
      <c r="H244" t="n">
        <v>1</v>
      </c>
      <c r="I244" t="n">
        <v>0</v>
      </c>
      <c r="J244" t="n">
        <v>0</v>
      </c>
      <c r="K244" t="n">
        <v>0</v>
      </c>
      <c r="L244" t="n">
        <v>1</v>
      </c>
      <c r="M244" t="n">
        <v>0</v>
      </c>
      <c r="N244" t="n">
        <v>0</v>
      </c>
      <c r="O244" t="n">
        <v>1</v>
      </c>
      <c r="P244" t="n">
        <v>1</v>
      </c>
      <c r="Q244" t="n">
        <v>1</v>
      </c>
      <c r="R244" s="2" t="inlineStr">
        <is>
          <t>Dvärgjohannesört</t>
        </is>
      </c>
      <c r="S244">
        <f>HYPERLINK("https://klasma.github.io/Logging_1281/artfynd/A 11732-2024 artfynd.xlsx", "A 11732-2024")</f>
        <v/>
      </c>
      <c r="T244">
        <f>HYPERLINK("https://klasma.github.io/Logging_1281/kartor/A 11732-2024 karta.png", "A 11732-2024")</f>
        <v/>
      </c>
      <c r="V244">
        <f>HYPERLINK("https://klasma.github.io/Logging_1281/klagomål/A 11732-2024 FSC-klagomål.docx", "A 11732-2024")</f>
        <v/>
      </c>
      <c r="W244">
        <f>HYPERLINK("https://klasma.github.io/Logging_1281/klagomålsmail/A 11732-2024 FSC-klagomål mail.docx", "A 11732-2024")</f>
        <v/>
      </c>
      <c r="X244">
        <f>HYPERLINK("https://klasma.github.io/Logging_1281/tillsyn/A 11732-2024 tillsynsbegäran.docx", "A 11732-2024")</f>
        <v/>
      </c>
      <c r="Y244">
        <f>HYPERLINK("https://klasma.github.io/Logging_1281/tillsynsmail/A 11732-2024 tillsynsbegäran mail.docx", "A 11732-2024")</f>
        <v/>
      </c>
    </row>
    <row r="245" ht="15" customHeight="1">
      <c r="A245" t="inlineStr">
        <is>
          <t>A 1510-2024</t>
        </is>
      </c>
      <c r="B245" s="1" t="n">
        <v>45306</v>
      </c>
      <c r="C245" s="1" t="n">
        <v>45962</v>
      </c>
      <c r="D245" t="inlineStr">
        <is>
          <t>SKÅNE LÄN</t>
        </is>
      </c>
      <c r="E245" t="inlineStr">
        <is>
          <t>ESLÖV</t>
        </is>
      </c>
      <c r="G245" t="n">
        <v>3.7</v>
      </c>
      <c r="H245" t="n">
        <v>1</v>
      </c>
      <c r="I245" t="n">
        <v>0</v>
      </c>
      <c r="J245" t="n">
        <v>0</v>
      </c>
      <c r="K245" t="n">
        <v>0</v>
      </c>
      <c r="L245" t="n">
        <v>0</v>
      </c>
      <c r="M245" t="n">
        <v>0</v>
      </c>
      <c r="N245" t="n">
        <v>1</v>
      </c>
      <c r="O245" t="n">
        <v>1</v>
      </c>
      <c r="P245" t="n">
        <v>0</v>
      </c>
      <c r="Q245" t="n">
        <v>1</v>
      </c>
      <c r="R245" s="2" t="inlineStr">
        <is>
          <t>Svart stork</t>
        </is>
      </c>
      <c r="S245">
        <f>HYPERLINK("https://klasma.github.io/Logging_1285/artfynd/A 1510-2024 artfynd.xlsx", "A 1510-2024")</f>
        <v/>
      </c>
      <c r="T245">
        <f>HYPERLINK("https://klasma.github.io/Logging_1285/kartor/A 1510-2024 karta.png", "A 1510-2024")</f>
        <v/>
      </c>
      <c r="V245">
        <f>HYPERLINK("https://klasma.github.io/Logging_1285/klagomål/A 1510-2024 FSC-klagomål.docx", "A 1510-2024")</f>
        <v/>
      </c>
      <c r="W245">
        <f>HYPERLINK("https://klasma.github.io/Logging_1285/klagomålsmail/A 1510-2024 FSC-klagomål mail.docx", "A 1510-2024")</f>
        <v/>
      </c>
      <c r="X245">
        <f>HYPERLINK("https://klasma.github.io/Logging_1285/tillsyn/A 1510-2024 tillsynsbegäran.docx", "A 1510-2024")</f>
        <v/>
      </c>
      <c r="Y245">
        <f>HYPERLINK("https://klasma.github.io/Logging_1285/tillsynsmail/A 1510-2024 tillsynsbegäran mail.docx", "A 1510-2024")</f>
        <v/>
      </c>
      <c r="Z245">
        <f>HYPERLINK("https://klasma.github.io/Logging_1285/fåglar/A 1510-2024 prioriterade fågelarter.docx", "A 1510-2024")</f>
        <v/>
      </c>
    </row>
    <row r="246" ht="15" customHeight="1">
      <c r="A246" t="inlineStr">
        <is>
          <t>A 16107-2025</t>
        </is>
      </c>
      <c r="B246" s="1" t="n">
        <v>45750.34537037037</v>
      </c>
      <c r="C246" s="1" t="n">
        <v>45962</v>
      </c>
      <c r="D246" t="inlineStr">
        <is>
          <t>SKÅNE LÄN</t>
        </is>
      </c>
      <c r="E246" t="inlineStr">
        <is>
          <t>HÄSSLEHOLM</t>
        </is>
      </c>
      <c r="G246" t="n">
        <v>1.4</v>
      </c>
      <c r="H246" t="n">
        <v>1</v>
      </c>
      <c r="I246" t="n">
        <v>0</v>
      </c>
      <c r="J246" t="n">
        <v>1</v>
      </c>
      <c r="K246" t="n">
        <v>0</v>
      </c>
      <c r="L246" t="n">
        <v>0</v>
      </c>
      <c r="M246" t="n">
        <v>0</v>
      </c>
      <c r="N246" t="n">
        <v>0</v>
      </c>
      <c r="O246" t="n">
        <v>1</v>
      </c>
      <c r="P246" t="n">
        <v>0</v>
      </c>
      <c r="Q246" t="n">
        <v>1</v>
      </c>
      <c r="R246" s="2" t="inlineStr">
        <is>
          <t>Spillkråka</t>
        </is>
      </c>
      <c r="S246">
        <f>HYPERLINK("https://klasma.github.io/Logging_1293/artfynd/A 16107-2025 artfynd.xlsx", "A 16107-2025")</f>
        <v/>
      </c>
      <c r="T246">
        <f>HYPERLINK("https://klasma.github.io/Logging_1293/kartor/A 16107-2025 karta.png", "A 16107-2025")</f>
        <v/>
      </c>
      <c r="V246">
        <f>HYPERLINK("https://klasma.github.io/Logging_1293/klagomål/A 16107-2025 FSC-klagomål.docx", "A 16107-2025")</f>
        <v/>
      </c>
      <c r="W246">
        <f>HYPERLINK("https://klasma.github.io/Logging_1293/klagomålsmail/A 16107-2025 FSC-klagomål mail.docx", "A 16107-2025")</f>
        <v/>
      </c>
      <c r="X246">
        <f>HYPERLINK("https://klasma.github.io/Logging_1293/tillsyn/A 16107-2025 tillsynsbegäran.docx", "A 16107-2025")</f>
        <v/>
      </c>
      <c r="Y246">
        <f>HYPERLINK("https://klasma.github.io/Logging_1293/tillsynsmail/A 16107-2025 tillsynsbegäran mail.docx", "A 16107-2025")</f>
        <v/>
      </c>
      <c r="Z246">
        <f>HYPERLINK("https://klasma.github.io/Logging_1293/fåglar/A 16107-2025 prioriterade fågelarter.docx", "A 16107-2025")</f>
        <v/>
      </c>
    </row>
    <row r="247" ht="15" customHeight="1">
      <c r="A247" t="inlineStr">
        <is>
          <t>A 12159-2025</t>
        </is>
      </c>
      <c r="B247" s="1" t="n">
        <v>45729</v>
      </c>
      <c r="C247" s="1" t="n">
        <v>45962</v>
      </c>
      <c r="D247" t="inlineStr">
        <is>
          <t>SKÅNE LÄN</t>
        </is>
      </c>
      <c r="E247" t="inlineStr">
        <is>
          <t>BROMÖLLA</t>
        </is>
      </c>
      <c r="G247" t="n">
        <v>13.2</v>
      </c>
      <c r="H247" t="n">
        <v>0</v>
      </c>
      <c r="I247" t="n">
        <v>0</v>
      </c>
      <c r="J247" t="n">
        <v>0</v>
      </c>
      <c r="K247" t="n">
        <v>0</v>
      </c>
      <c r="L247" t="n">
        <v>1</v>
      </c>
      <c r="M247" t="n">
        <v>0</v>
      </c>
      <c r="N247" t="n">
        <v>0</v>
      </c>
      <c r="O247" t="n">
        <v>1</v>
      </c>
      <c r="P247" t="n">
        <v>1</v>
      </c>
      <c r="Q247" t="n">
        <v>1</v>
      </c>
      <c r="R247" s="2" t="inlineStr">
        <is>
          <t>Ask</t>
        </is>
      </c>
      <c r="S247">
        <f>HYPERLINK("https://klasma.github.io/Logging_1272/artfynd/A 12159-2025 artfynd.xlsx", "A 12159-2025")</f>
        <v/>
      </c>
      <c r="T247">
        <f>HYPERLINK("https://klasma.github.io/Logging_1272/kartor/A 12159-2025 karta.png", "A 12159-2025")</f>
        <v/>
      </c>
      <c r="V247">
        <f>HYPERLINK("https://klasma.github.io/Logging_1272/klagomål/A 12159-2025 FSC-klagomål.docx", "A 12159-2025")</f>
        <v/>
      </c>
      <c r="W247">
        <f>HYPERLINK("https://klasma.github.io/Logging_1272/klagomålsmail/A 12159-2025 FSC-klagomål mail.docx", "A 12159-2025")</f>
        <v/>
      </c>
      <c r="X247">
        <f>HYPERLINK("https://klasma.github.io/Logging_1272/tillsyn/A 12159-2025 tillsynsbegäran.docx", "A 12159-2025")</f>
        <v/>
      </c>
      <c r="Y247">
        <f>HYPERLINK("https://klasma.github.io/Logging_1272/tillsynsmail/A 12159-2025 tillsynsbegäran mail.docx", "A 12159-2025")</f>
        <v/>
      </c>
    </row>
    <row r="248" ht="15" customHeight="1">
      <c r="A248" t="inlineStr">
        <is>
          <t>A 42027-2023</t>
        </is>
      </c>
      <c r="B248" s="1" t="n">
        <v>45177</v>
      </c>
      <c r="C248" s="1" t="n">
        <v>45962</v>
      </c>
      <c r="D248" t="inlineStr">
        <is>
          <t>SKÅNE LÄN</t>
        </is>
      </c>
      <c r="E248" t="inlineStr">
        <is>
          <t>OSBY</t>
        </is>
      </c>
      <c r="F248" t="inlineStr">
        <is>
          <t>Kommuner</t>
        </is>
      </c>
      <c r="G248" t="n">
        <v>2.2</v>
      </c>
      <c r="H248" t="n">
        <v>0</v>
      </c>
      <c r="I248" t="n">
        <v>1</v>
      </c>
      <c r="J248" t="n">
        <v>0</v>
      </c>
      <c r="K248" t="n">
        <v>0</v>
      </c>
      <c r="L248" t="n">
        <v>0</v>
      </c>
      <c r="M248" t="n">
        <v>0</v>
      </c>
      <c r="N248" t="n">
        <v>0</v>
      </c>
      <c r="O248" t="n">
        <v>0</v>
      </c>
      <c r="P248" t="n">
        <v>0</v>
      </c>
      <c r="Q248" t="n">
        <v>1</v>
      </c>
      <c r="R248" s="2" t="inlineStr">
        <is>
          <t>Grovticka</t>
        </is>
      </c>
      <c r="S248">
        <f>HYPERLINK("https://klasma.github.io/Logging_1273/artfynd/A 42027-2023 artfynd.xlsx", "A 42027-2023")</f>
        <v/>
      </c>
      <c r="T248">
        <f>HYPERLINK("https://klasma.github.io/Logging_1273/kartor/A 42027-2023 karta.png", "A 42027-2023")</f>
        <v/>
      </c>
      <c r="V248">
        <f>HYPERLINK("https://klasma.github.io/Logging_1273/klagomål/A 42027-2023 FSC-klagomål.docx", "A 42027-2023")</f>
        <v/>
      </c>
      <c r="W248">
        <f>HYPERLINK("https://klasma.github.io/Logging_1273/klagomålsmail/A 42027-2023 FSC-klagomål mail.docx", "A 42027-2023")</f>
        <v/>
      </c>
      <c r="X248">
        <f>HYPERLINK("https://klasma.github.io/Logging_1273/tillsyn/A 42027-2023 tillsynsbegäran.docx", "A 42027-2023")</f>
        <v/>
      </c>
      <c r="Y248">
        <f>HYPERLINK("https://klasma.github.io/Logging_1273/tillsynsmail/A 42027-2023 tillsynsbegäran mail.docx", "A 42027-2023")</f>
        <v/>
      </c>
    </row>
    <row r="249" ht="15" customHeight="1">
      <c r="A249" t="inlineStr">
        <is>
          <t>A 6634-2024</t>
        </is>
      </c>
      <c r="B249" s="1" t="n">
        <v>45341</v>
      </c>
      <c r="C249" s="1" t="n">
        <v>45962</v>
      </c>
      <c r="D249" t="inlineStr">
        <is>
          <t>SKÅNE LÄN</t>
        </is>
      </c>
      <c r="E249" t="inlineStr">
        <is>
          <t>HÄSSLEHOLM</t>
        </is>
      </c>
      <c r="G249" t="n">
        <v>1.9</v>
      </c>
      <c r="H249" t="n">
        <v>0</v>
      </c>
      <c r="I249" t="n">
        <v>0</v>
      </c>
      <c r="J249" t="n">
        <v>0</v>
      </c>
      <c r="K249" t="n">
        <v>1</v>
      </c>
      <c r="L249" t="n">
        <v>0</v>
      </c>
      <c r="M249" t="n">
        <v>0</v>
      </c>
      <c r="N249" t="n">
        <v>0</v>
      </c>
      <c r="O249" t="n">
        <v>1</v>
      </c>
      <c r="P249" t="n">
        <v>1</v>
      </c>
      <c r="Q249" t="n">
        <v>1</v>
      </c>
      <c r="R249" s="2" t="inlineStr">
        <is>
          <t>Revig blodrot</t>
        </is>
      </c>
      <c r="S249">
        <f>HYPERLINK("https://klasma.github.io/Logging_1293/artfynd/A 6634-2024 artfynd.xlsx", "A 6634-2024")</f>
        <v/>
      </c>
      <c r="T249">
        <f>HYPERLINK("https://klasma.github.io/Logging_1293/kartor/A 6634-2024 karta.png", "A 6634-2024")</f>
        <v/>
      </c>
      <c r="V249">
        <f>HYPERLINK("https://klasma.github.io/Logging_1293/klagomål/A 6634-2024 FSC-klagomål.docx", "A 6634-2024")</f>
        <v/>
      </c>
      <c r="W249">
        <f>HYPERLINK("https://klasma.github.io/Logging_1293/klagomålsmail/A 6634-2024 FSC-klagomål mail.docx", "A 6634-2024")</f>
        <v/>
      </c>
      <c r="X249">
        <f>HYPERLINK("https://klasma.github.io/Logging_1293/tillsyn/A 6634-2024 tillsynsbegäran.docx", "A 6634-2024")</f>
        <v/>
      </c>
      <c r="Y249">
        <f>HYPERLINK("https://klasma.github.io/Logging_1293/tillsynsmail/A 6634-2024 tillsynsbegäran mail.docx", "A 6634-2024")</f>
        <v/>
      </c>
    </row>
    <row r="250" ht="15" customHeight="1">
      <c r="A250" t="inlineStr">
        <is>
          <t>A 8169-2024</t>
        </is>
      </c>
      <c r="B250" s="1" t="n">
        <v>45351</v>
      </c>
      <c r="C250" s="1" t="n">
        <v>45962</v>
      </c>
      <c r="D250" t="inlineStr">
        <is>
          <t>SKÅNE LÄN</t>
        </is>
      </c>
      <c r="E250" t="inlineStr">
        <is>
          <t>SVALÖV</t>
        </is>
      </c>
      <c r="G250" t="n">
        <v>3.1</v>
      </c>
      <c r="H250" t="n">
        <v>0</v>
      </c>
      <c r="I250" t="n">
        <v>0</v>
      </c>
      <c r="J250" t="n">
        <v>1</v>
      </c>
      <c r="K250" t="n">
        <v>0</v>
      </c>
      <c r="L250" t="n">
        <v>0</v>
      </c>
      <c r="M250" t="n">
        <v>0</v>
      </c>
      <c r="N250" t="n">
        <v>0</v>
      </c>
      <c r="O250" t="n">
        <v>1</v>
      </c>
      <c r="P250" t="n">
        <v>0</v>
      </c>
      <c r="Q250" t="n">
        <v>1</v>
      </c>
      <c r="R250" s="2" t="inlineStr">
        <is>
          <t>Mjukdån</t>
        </is>
      </c>
      <c r="S250">
        <f>HYPERLINK("https://klasma.github.io/Logging_1214/artfynd/A 8169-2024 artfynd.xlsx", "A 8169-2024")</f>
        <v/>
      </c>
      <c r="T250">
        <f>HYPERLINK("https://klasma.github.io/Logging_1214/kartor/A 8169-2024 karta.png", "A 8169-2024")</f>
        <v/>
      </c>
      <c r="V250">
        <f>HYPERLINK("https://klasma.github.io/Logging_1214/klagomål/A 8169-2024 FSC-klagomål.docx", "A 8169-2024")</f>
        <v/>
      </c>
      <c r="W250">
        <f>HYPERLINK("https://klasma.github.io/Logging_1214/klagomålsmail/A 8169-2024 FSC-klagomål mail.docx", "A 8169-2024")</f>
        <v/>
      </c>
      <c r="X250">
        <f>HYPERLINK("https://klasma.github.io/Logging_1214/tillsyn/A 8169-2024 tillsynsbegäran.docx", "A 8169-2024")</f>
        <v/>
      </c>
      <c r="Y250">
        <f>HYPERLINK("https://klasma.github.io/Logging_1214/tillsynsmail/A 8169-2024 tillsynsbegäran mail.docx", "A 8169-2024")</f>
        <v/>
      </c>
    </row>
    <row r="251" ht="15" customHeight="1">
      <c r="A251" t="inlineStr">
        <is>
          <t>A 61019-2024</t>
        </is>
      </c>
      <c r="B251" s="1" t="n">
        <v>45645</v>
      </c>
      <c r="C251" s="1" t="n">
        <v>45962</v>
      </c>
      <c r="D251" t="inlineStr">
        <is>
          <t>SKÅNE LÄN</t>
        </is>
      </c>
      <c r="E251" t="inlineStr">
        <is>
          <t>HÖÖR</t>
        </is>
      </c>
      <c r="F251" t="inlineStr">
        <is>
          <t>Kommuner</t>
        </is>
      </c>
      <c r="G251" t="n">
        <v>2.2</v>
      </c>
      <c r="H251" t="n">
        <v>0</v>
      </c>
      <c r="I251" t="n">
        <v>0</v>
      </c>
      <c r="J251" t="n">
        <v>1</v>
      </c>
      <c r="K251" t="n">
        <v>0</v>
      </c>
      <c r="L251" t="n">
        <v>0</v>
      </c>
      <c r="M251" t="n">
        <v>0</v>
      </c>
      <c r="N251" t="n">
        <v>0</v>
      </c>
      <c r="O251" t="n">
        <v>1</v>
      </c>
      <c r="P251" t="n">
        <v>0</v>
      </c>
      <c r="Q251" t="n">
        <v>1</v>
      </c>
      <c r="R251" s="2" t="inlineStr">
        <is>
          <t>Brokigt ängsfly</t>
        </is>
      </c>
      <c r="S251">
        <f>HYPERLINK("https://klasma.github.io/Logging_1267/artfynd/A 61019-2024 artfynd.xlsx", "A 61019-2024")</f>
        <v/>
      </c>
      <c r="T251">
        <f>HYPERLINK("https://klasma.github.io/Logging_1267/kartor/A 61019-2024 karta.png", "A 61019-2024")</f>
        <v/>
      </c>
      <c r="V251">
        <f>HYPERLINK("https://klasma.github.io/Logging_1267/klagomål/A 61019-2024 FSC-klagomål.docx", "A 61019-2024")</f>
        <v/>
      </c>
      <c r="W251">
        <f>HYPERLINK("https://klasma.github.io/Logging_1267/klagomålsmail/A 61019-2024 FSC-klagomål mail.docx", "A 61019-2024")</f>
        <v/>
      </c>
      <c r="X251">
        <f>HYPERLINK("https://klasma.github.io/Logging_1267/tillsyn/A 61019-2024 tillsynsbegäran.docx", "A 61019-2024")</f>
        <v/>
      </c>
      <c r="Y251">
        <f>HYPERLINK("https://klasma.github.io/Logging_1267/tillsynsmail/A 61019-2024 tillsynsbegäran mail.docx", "A 61019-2024")</f>
        <v/>
      </c>
    </row>
    <row r="252" ht="15" customHeight="1">
      <c r="A252" t="inlineStr">
        <is>
          <t>A 60925-2024</t>
        </is>
      </c>
      <c r="B252" s="1" t="n">
        <v>45645.3550462963</v>
      </c>
      <c r="C252" s="1" t="n">
        <v>45962</v>
      </c>
      <c r="D252" t="inlineStr">
        <is>
          <t>SKÅNE LÄN</t>
        </is>
      </c>
      <c r="E252" t="inlineStr">
        <is>
          <t>HÄSSLEHOLM</t>
        </is>
      </c>
      <c r="G252" t="n">
        <v>1.8</v>
      </c>
      <c r="H252" t="n">
        <v>0</v>
      </c>
      <c r="I252" t="n">
        <v>0</v>
      </c>
      <c r="J252" t="n">
        <v>0</v>
      </c>
      <c r="K252" t="n">
        <v>0</v>
      </c>
      <c r="L252" t="n">
        <v>1</v>
      </c>
      <c r="M252" t="n">
        <v>0</v>
      </c>
      <c r="N252" t="n">
        <v>0</v>
      </c>
      <c r="O252" t="n">
        <v>1</v>
      </c>
      <c r="P252" t="n">
        <v>1</v>
      </c>
      <c r="Q252" t="n">
        <v>1</v>
      </c>
      <c r="R252" s="2" t="inlineStr">
        <is>
          <t>Ask</t>
        </is>
      </c>
      <c r="S252">
        <f>HYPERLINK("https://klasma.github.io/Logging_1293/artfynd/A 60925-2024 artfynd.xlsx", "A 60925-2024")</f>
        <v/>
      </c>
      <c r="T252">
        <f>HYPERLINK("https://klasma.github.io/Logging_1293/kartor/A 60925-2024 karta.png", "A 60925-2024")</f>
        <v/>
      </c>
      <c r="V252">
        <f>HYPERLINK("https://klasma.github.io/Logging_1293/klagomål/A 60925-2024 FSC-klagomål.docx", "A 60925-2024")</f>
        <v/>
      </c>
      <c r="W252">
        <f>HYPERLINK("https://klasma.github.io/Logging_1293/klagomålsmail/A 60925-2024 FSC-klagomål mail.docx", "A 60925-2024")</f>
        <v/>
      </c>
      <c r="X252">
        <f>HYPERLINK("https://klasma.github.io/Logging_1293/tillsyn/A 60925-2024 tillsynsbegäran.docx", "A 60925-2024")</f>
        <v/>
      </c>
      <c r="Y252">
        <f>HYPERLINK("https://klasma.github.io/Logging_1293/tillsynsmail/A 60925-2024 tillsynsbegäran mail.docx", "A 60925-2024")</f>
        <v/>
      </c>
    </row>
    <row r="253" ht="15" customHeight="1">
      <c r="A253" t="inlineStr">
        <is>
          <t>A 43874-2022</t>
        </is>
      </c>
      <c r="B253" s="1" t="n">
        <v>44838.44738425926</v>
      </c>
      <c r="C253" s="1" t="n">
        <v>45962</v>
      </c>
      <c r="D253" t="inlineStr">
        <is>
          <t>SKÅNE LÄN</t>
        </is>
      </c>
      <c r="E253" t="inlineStr">
        <is>
          <t>HÄSSLEHOLM</t>
        </is>
      </c>
      <c r="G253" t="n">
        <v>2.1</v>
      </c>
      <c r="H253" t="n">
        <v>0</v>
      </c>
      <c r="I253" t="n">
        <v>0</v>
      </c>
      <c r="J253" t="n">
        <v>1</v>
      </c>
      <c r="K253" t="n">
        <v>0</v>
      </c>
      <c r="L253" t="n">
        <v>0</v>
      </c>
      <c r="M253" t="n">
        <v>0</v>
      </c>
      <c r="N253" t="n">
        <v>0</v>
      </c>
      <c r="O253" t="n">
        <v>1</v>
      </c>
      <c r="P253" t="n">
        <v>0</v>
      </c>
      <c r="Q253" t="n">
        <v>1</v>
      </c>
      <c r="R253" s="2" t="inlineStr">
        <is>
          <t>Igelkott</t>
        </is>
      </c>
      <c r="S253">
        <f>HYPERLINK("https://klasma.github.io/Logging_1293/artfynd/A 43874-2022 artfynd.xlsx", "A 43874-2022")</f>
        <v/>
      </c>
      <c r="T253">
        <f>HYPERLINK("https://klasma.github.io/Logging_1293/kartor/A 43874-2022 karta.png", "A 43874-2022")</f>
        <v/>
      </c>
      <c r="V253">
        <f>HYPERLINK("https://klasma.github.io/Logging_1293/klagomål/A 43874-2022 FSC-klagomål.docx", "A 43874-2022")</f>
        <v/>
      </c>
      <c r="W253">
        <f>HYPERLINK("https://klasma.github.io/Logging_1293/klagomålsmail/A 43874-2022 FSC-klagomål mail.docx", "A 43874-2022")</f>
        <v/>
      </c>
      <c r="X253">
        <f>HYPERLINK("https://klasma.github.io/Logging_1293/tillsyn/A 43874-2022 tillsynsbegäran.docx", "A 43874-2022")</f>
        <v/>
      </c>
      <c r="Y253">
        <f>HYPERLINK("https://klasma.github.io/Logging_1293/tillsynsmail/A 43874-2022 tillsynsbegäran mail.docx", "A 43874-2022")</f>
        <v/>
      </c>
    </row>
    <row r="254" ht="15" customHeight="1">
      <c r="A254" t="inlineStr">
        <is>
          <t>A 23963-2022</t>
        </is>
      </c>
      <c r="B254" s="1" t="n">
        <v>44722</v>
      </c>
      <c r="C254" s="1" t="n">
        <v>45962</v>
      </c>
      <c r="D254" t="inlineStr">
        <is>
          <t>SKÅNE LÄN</t>
        </is>
      </c>
      <c r="E254" t="inlineStr">
        <is>
          <t>OSBY</t>
        </is>
      </c>
      <c r="F254" t="inlineStr">
        <is>
          <t>Kyrkan</t>
        </is>
      </c>
      <c r="G254" t="n">
        <v>4.5</v>
      </c>
      <c r="H254" t="n">
        <v>1</v>
      </c>
      <c r="I254" t="n">
        <v>0</v>
      </c>
      <c r="J254" t="n">
        <v>0</v>
      </c>
      <c r="K254" t="n">
        <v>0</v>
      </c>
      <c r="L254" t="n">
        <v>0</v>
      </c>
      <c r="M254" t="n">
        <v>0</v>
      </c>
      <c r="N254" t="n">
        <v>0</v>
      </c>
      <c r="O254" t="n">
        <v>0</v>
      </c>
      <c r="P254" t="n">
        <v>0</v>
      </c>
      <c r="Q254" t="n">
        <v>1</v>
      </c>
      <c r="R254" s="2" t="inlineStr">
        <is>
          <t>Kungsfågel</t>
        </is>
      </c>
      <c r="S254">
        <f>HYPERLINK("https://klasma.github.io/Logging_1273/artfynd/A 23963-2022 artfynd.xlsx", "A 23963-2022")</f>
        <v/>
      </c>
      <c r="T254">
        <f>HYPERLINK("https://klasma.github.io/Logging_1273/kartor/A 23963-2022 karta.png", "A 23963-2022")</f>
        <v/>
      </c>
      <c r="V254">
        <f>HYPERLINK("https://klasma.github.io/Logging_1273/klagomål/A 23963-2022 FSC-klagomål.docx", "A 23963-2022")</f>
        <v/>
      </c>
      <c r="W254">
        <f>HYPERLINK("https://klasma.github.io/Logging_1273/klagomålsmail/A 23963-2022 FSC-klagomål mail.docx", "A 23963-2022")</f>
        <v/>
      </c>
      <c r="X254">
        <f>HYPERLINK("https://klasma.github.io/Logging_1273/tillsyn/A 23963-2022 tillsynsbegäran.docx", "A 23963-2022")</f>
        <v/>
      </c>
      <c r="Y254">
        <f>HYPERLINK("https://klasma.github.io/Logging_1273/tillsynsmail/A 23963-2022 tillsynsbegäran mail.docx", "A 23963-2022")</f>
        <v/>
      </c>
      <c r="Z254">
        <f>HYPERLINK("https://klasma.github.io/Logging_1273/fåglar/A 23963-2022 prioriterade fågelarter.docx", "A 23963-2022")</f>
        <v/>
      </c>
    </row>
    <row r="255" ht="15" customHeight="1">
      <c r="A255" t="inlineStr">
        <is>
          <t>A 48926-2024</t>
        </is>
      </c>
      <c r="B255" s="1" t="n">
        <v>45594</v>
      </c>
      <c r="C255" s="1" t="n">
        <v>45962</v>
      </c>
      <c r="D255" t="inlineStr">
        <is>
          <t>SKÅNE LÄN</t>
        </is>
      </c>
      <c r="E255" t="inlineStr">
        <is>
          <t>HÖÖR</t>
        </is>
      </c>
      <c r="G255" t="n">
        <v>10.8</v>
      </c>
      <c r="H255" t="n">
        <v>0</v>
      </c>
      <c r="I255" t="n">
        <v>0</v>
      </c>
      <c r="J255" t="n">
        <v>0</v>
      </c>
      <c r="K255" t="n">
        <v>1</v>
      </c>
      <c r="L255" t="n">
        <v>0</v>
      </c>
      <c r="M255" t="n">
        <v>0</v>
      </c>
      <c r="N255" t="n">
        <v>0</v>
      </c>
      <c r="O255" t="n">
        <v>1</v>
      </c>
      <c r="P255" t="n">
        <v>1</v>
      </c>
      <c r="Q255" t="n">
        <v>1</v>
      </c>
      <c r="R255" s="2" t="inlineStr">
        <is>
          <t>Småvänderot</t>
        </is>
      </c>
      <c r="S255">
        <f>HYPERLINK("https://klasma.github.io/Logging_1267/artfynd/A 48926-2024 artfynd.xlsx", "A 48926-2024")</f>
        <v/>
      </c>
      <c r="T255">
        <f>HYPERLINK("https://klasma.github.io/Logging_1267/kartor/A 48926-2024 karta.png", "A 48926-2024")</f>
        <v/>
      </c>
      <c r="V255">
        <f>HYPERLINK("https://klasma.github.io/Logging_1267/klagomål/A 48926-2024 FSC-klagomål.docx", "A 48926-2024")</f>
        <v/>
      </c>
      <c r="W255">
        <f>HYPERLINK("https://klasma.github.io/Logging_1267/klagomålsmail/A 48926-2024 FSC-klagomål mail.docx", "A 48926-2024")</f>
        <v/>
      </c>
      <c r="X255">
        <f>HYPERLINK("https://klasma.github.io/Logging_1267/tillsyn/A 48926-2024 tillsynsbegäran.docx", "A 48926-2024")</f>
        <v/>
      </c>
      <c r="Y255">
        <f>HYPERLINK("https://klasma.github.io/Logging_1267/tillsynsmail/A 48926-2024 tillsynsbegäran mail.docx", "A 48926-2024")</f>
        <v/>
      </c>
    </row>
    <row r="256" ht="15" customHeight="1">
      <c r="A256" t="inlineStr">
        <is>
          <t>A 58641-2022</t>
        </is>
      </c>
      <c r="B256" s="1" t="n">
        <v>44902</v>
      </c>
      <c r="C256" s="1" t="n">
        <v>45962</v>
      </c>
      <c r="D256" t="inlineStr">
        <is>
          <t>SKÅNE LÄN</t>
        </is>
      </c>
      <c r="E256" t="inlineStr">
        <is>
          <t>OSBY</t>
        </is>
      </c>
      <c r="G256" t="n">
        <v>1.2</v>
      </c>
      <c r="H256" t="n">
        <v>0</v>
      </c>
      <c r="I256" t="n">
        <v>0</v>
      </c>
      <c r="J256" t="n">
        <v>0</v>
      </c>
      <c r="K256" t="n">
        <v>0</v>
      </c>
      <c r="L256" t="n">
        <v>1</v>
      </c>
      <c r="M256" t="n">
        <v>0</v>
      </c>
      <c r="N256" t="n">
        <v>0</v>
      </c>
      <c r="O256" t="n">
        <v>1</v>
      </c>
      <c r="P256" t="n">
        <v>1</v>
      </c>
      <c r="Q256" t="n">
        <v>1</v>
      </c>
      <c r="R256" s="2" t="inlineStr">
        <is>
          <t>Ask</t>
        </is>
      </c>
      <c r="S256">
        <f>HYPERLINK("https://klasma.github.io/Logging_1273/artfynd/A 58641-2022 artfynd.xlsx", "A 58641-2022")</f>
        <v/>
      </c>
      <c r="T256">
        <f>HYPERLINK("https://klasma.github.io/Logging_1273/kartor/A 58641-2022 karta.png", "A 58641-2022")</f>
        <v/>
      </c>
      <c r="V256">
        <f>HYPERLINK("https://klasma.github.io/Logging_1273/klagomål/A 58641-2022 FSC-klagomål.docx", "A 58641-2022")</f>
        <v/>
      </c>
      <c r="W256">
        <f>HYPERLINK("https://klasma.github.io/Logging_1273/klagomålsmail/A 58641-2022 FSC-klagomål mail.docx", "A 58641-2022")</f>
        <v/>
      </c>
      <c r="X256">
        <f>HYPERLINK("https://klasma.github.io/Logging_1273/tillsyn/A 58641-2022 tillsynsbegäran.docx", "A 58641-2022")</f>
        <v/>
      </c>
      <c r="Y256">
        <f>HYPERLINK("https://klasma.github.io/Logging_1273/tillsynsmail/A 58641-2022 tillsynsbegäran mail.docx", "A 58641-2022")</f>
        <v/>
      </c>
    </row>
    <row r="257" ht="15" customHeight="1">
      <c r="A257" t="inlineStr">
        <is>
          <t>A 24809-2025</t>
        </is>
      </c>
      <c r="B257" s="1" t="n">
        <v>45799</v>
      </c>
      <c r="C257" s="1" t="n">
        <v>45962</v>
      </c>
      <c r="D257" t="inlineStr">
        <is>
          <t>SKÅNE LÄN</t>
        </is>
      </c>
      <c r="E257" t="inlineStr">
        <is>
          <t>ESLÖV</t>
        </is>
      </c>
      <c r="G257" t="n">
        <v>1.4</v>
      </c>
      <c r="H257" t="n">
        <v>1</v>
      </c>
      <c r="I257" t="n">
        <v>0</v>
      </c>
      <c r="J257" t="n">
        <v>1</v>
      </c>
      <c r="K257" t="n">
        <v>0</v>
      </c>
      <c r="L257" t="n">
        <v>0</v>
      </c>
      <c r="M257" t="n">
        <v>0</v>
      </c>
      <c r="N257" t="n">
        <v>0</v>
      </c>
      <c r="O257" t="n">
        <v>1</v>
      </c>
      <c r="P257" t="n">
        <v>0</v>
      </c>
      <c r="Q257" t="n">
        <v>1</v>
      </c>
      <c r="R257" s="2" t="inlineStr">
        <is>
          <t>Spillkråka</t>
        </is>
      </c>
      <c r="S257">
        <f>HYPERLINK("https://klasma.github.io/Logging_1285/artfynd/A 24809-2025 artfynd.xlsx", "A 24809-2025")</f>
        <v/>
      </c>
      <c r="T257">
        <f>HYPERLINK("https://klasma.github.io/Logging_1285/kartor/A 24809-2025 karta.png", "A 24809-2025")</f>
        <v/>
      </c>
      <c r="V257">
        <f>HYPERLINK("https://klasma.github.io/Logging_1285/klagomål/A 24809-2025 FSC-klagomål.docx", "A 24809-2025")</f>
        <v/>
      </c>
      <c r="W257">
        <f>HYPERLINK("https://klasma.github.io/Logging_1285/klagomålsmail/A 24809-2025 FSC-klagomål mail.docx", "A 24809-2025")</f>
        <v/>
      </c>
      <c r="X257">
        <f>HYPERLINK("https://klasma.github.io/Logging_1285/tillsyn/A 24809-2025 tillsynsbegäran.docx", "A 24809-2025")</f>
        <v/>
      </c>
      <c r="Y257">
        <f>HYPERLINK("https://klasma.github.io/Logging_1285/tillsynsmail/A 24809-2025 tillsynsbegäran mail.docx", "A 24809-2025")</f>
        <v/>
      </c>
      <c r="Z257">
        <f>HYPERLINK("https://klasma.github.io/Logging_1285/fåglar/A 24809-2025 prioriterade fågelarter.docx", "A 24809-2025")</f>
        <v/>
      </c>
    </row>
    <row r="258" ht="15" customHeight="1">
      <c r="A258" t="inlineStr">
        <is>
          <t>A 25480-2025</t>
        </is>
      </c>
      <c r="B258" s="1" t="n">
        <v>45802</v>
      </c>
      <c r="C258" s="1" t="n">
        <v>45962</v>
      </c>
      <c r="D258" t="inlineStr">
        <is>
          <t>SKÅNE LÄN</t>
        </is>
      </c>
      <c r="E258" t="inlineStr">
        <is>
          <t>HÖÖR</t>
        </is>
      </c>
      <c r="G258" t="n">
        <v>0.5</v>
      </c>
      <c r="H258" t="n">
        <v>0</v>
      </c>
      <c r="I258" t="n">
        <v>0</v>
      </c>
      <c r="J258" t="n">
        <v>1</v>
      </c>
      <c r="K258" t="n">
        <v>0</v>
      </c>
      <c r="L258" t="n">
        <v>0</v>
      </c>
      <c r="M258" t="n">
        <v>0</v>
      </c>
      <c r="N258" t="n">
        <v>0</v>
      </c>
      <c r="O258" t="n">
        <v>1</v>
      </c>
      <c r="P258" t="n">
        <v>0</v>
      </c>
      <c r="Q258" t="n">
        <v>1</v>
      </c>
      <c r="R258" s="2" t="inlineStr">
        <is>
          <t>Hålnunneört</t>
        </is>
      </c>
      <c r="S258">
        <f>HYPERLINK("https://klasma.github.io/Logging_1267/artfynd/A 25480-2025 artfynd.xlsx", "A 25480-2025")</f>
        <v/>
      </c>
      <c r="T258">
        <f>HYPERLINK("https://klasma.github.io/Logging_1267/kartor/A 25480-2025 karta.png", "A 25480-2025")</f>
        <v/>
      </c>
      <c r="V258">
        <f>HYPERLINK("https://klasma.github.io/Logging_1267/klagomål/A 25480-2025 FSC-klagomål.docx", "A 25480-2025")</f>
        <v/>
      </c>
      <c r="W258">
        <f>HYPERLINK("https://klasma.github.io/Logging_1267/klagomålsmail/A 25480-2025 FSC-klagomål mail.docx", "A 25480-2025")</f>
        <v/>
      </c>
      <c r="X258">
        <f>HYPERLINK("https://klasma.github.io/Logging_1267/tillsyn/A 25480-2025 tillsynsbegäran.docx", "A 25480-2025")</f>
        <v/>
      </c>
      <c r="Y258">
        <f>HYPERLINK("https://klasma.github.io/Logging_1267/tillsynsmail/A 25480-2025 tillsynsbegäran mail.docx", "A 25480-2025")</f>
        <v/>
      </c>
    </row>
    <row r="259" ht="15" customHeight="1">
      <c r="A259" t="inlineStr">
        <is>
          <t>A 50779-2024</t>
        </is>
      </c>
      <c r="B259" s="1" t="n">
        <v>45602</v>
      </c>
      <c r="C259" s="1" t="n">
        <v>45962</v>
      </c>
      <c r="D259" t="inlineStr">
        <is>
          <t>SKÅNE LÄN</t>
        </is>
      </c>
      <c r="E259" t="inlineStr">
        <is>
          <t>KRISTIANSTAD</t>
        </is>
      </c>
      <c r="G259" t="n">
        <v>5.7</v>
      </c>
      <c r="H259" t="n">
        <v>0</v>
      </c>
      <c r="I259" t="n">
        <v>1</v>
      </c>
      <c r="J259" t="n">
        <v>0</v>
      </c>
      <c r="K259" t="n">
        <v>0</v>
      </c>
      <c r="L259" t="n">
        <v>0</v>
      </c>
      <c r="M259" t="n">
        <v>0</v>
      </c>
      <c r="N259" t="n">
        <v>0</v>
      </c>
      <c r="O259" t="n">
        <v>0</v>
      </c>
      <c r="P259" t="n">
        <v>0</v>
      </c>
      <c r="Q259" t="n">
        <v>1</v>
      </c>
      <c r="R259" s="2" t="inlineStr">
        <is>
          <t>Bokoxe</t>
        </is>
      </c>
      <c r="S259">
        <f>HYPERLINK("https://klasma.github.io/Logging_1290/artfynd/A 50779-2024 artfynd.xlsx", "A 50779-2024")</f>
        <v/>
      </c>
      <c r="T259">
        <f>HYPERLINK("https://klasma.github.io/Logging_1290/kartor/A 50779-2024 karta.png", "A 50779-2024")</f>
        <v/>
      </c>
      <c r="V259">
        <f>HYPERLINK("https://klasma.github.io/Logging_1290/klagomål/A 50779-2024 FSC-klagomål.docx", "A 50779-2024")</f>
        <v/>
      </c>
      <c r="W259">
        <f>HYPERLINK("https://klasma.github.io/Logging_1290/klagomålsmail/A 50779-2024 FSC-klagomål mail.docx", "A 50779-2024")</f>
        <v/>
      </c>
      <c r="X259">
        <f>HYPERLINK("https://klasma.github.io/Logging_1290/tillsyn/A 50779-2024 tillsynsbegäran.docx", "A 50779-2024")</f>
        <v/>
      </c>
      <c r="Y259">
        <f>HYPERLINK("https://klasma.github.io/Logging_1290/tillsynsmail/A 50779-2024 tillsynsbegäran mail.docx", "A 50779-2024")</f>
        <v/>
      </c>
    </row>
    <row r="260" ht="15" customHeight="1">
      <c r="A260" t="inlineStr">
        <is>
          <t>A 72269-2021</t>
        </is>
      </c>
      <c r="B260" s="1" t="n">
        <v>44543</v>
      </c>
      <c r="C260" s="1" t="n">
        <v>45962</v>
      </c>
      <c r="D260" t="inlineStr">
        <is>
          <t>SKÅNE LÄN</t>
        </is>
      </c>
      <c r="E260" t="inlineStr">
        <is>
          <t>LUND</t>
        </is>
      </c>
      <c r="G260" t="n">
        <v>3.2</v>
      </c>
      <c r="H260" t="n">
        <v>0</v>
      </c>
      <c r="I260" t="n">
        <v>1</v>
      </c>
      <c r="J260" t="n">
        <v>0</v>
      </c>
      <c r="K260" t="n">
        <v>0</v>
      </c>
      <c r="L260" t="n">
        <v>0</v>
      </c>
      <c r="M260" t="n">
        <v>0</v>
      </c>
      <c r="N260" t="n">
        <v>0</v>
      </c>
      <c r="O260" t="n">
        <v>0</v>
      </c>
      <c r="P260" t="n">
        <v>0</v>
      </c>
      <c r="Q260" t="n">
        <v>1</v>
      </c>
      <c r="R260" s="2" t="inlineStr">
        <is>
          <t>Stor häxört</t>
        </is>
      </c>
      <c r="S260">
        <f>HYPERLINK("https://klasma.github.io/Logging_1281/artfynd/A 72269-2021 artfynd.xlsx", "A 72269-2021")</f>
        <v/>
      </c>
      <c r="T260">
        <f>HYPERLINK("https://klasma.github.io/Logging_1281/kartor/A 72269-2021 karta.png", "A 72269-2021")</f>
        <v/>
      </c>
      <c r="V260">
        <f>HYPERLINK("https://klasma.github.io/Logging_1281/klagomål/A 72269-2021 FSC-klagomål.docx", "A 72269-2021")</f>
        <v/>
      </c>
      <c r="W260">
        <f>HYPERLINK("https://klasma.github.io/Logging_1281/klagomålsmail/A 72269-2021 FSC-klagomål mail.docx", "A 72269-2021")</f>
        <v/>
      </c>
      <c r="X260">
        <f>HYPERLINK("https://klasma.github.io/Logging_1281/tillsyn/A 72269-2021 tillsynsbegäran.docx", "A 72269-2021")</f>
        <v/>
      </c>
      <c r="Y260">
        <f>HYPERLINK("https://klasma.github.io/Logging_1281/tillsynsmail/A 72269-2021 tillsynsbegäran mail.docx", "A 72269-2021")</f>
        <v/>
      </c>
    </row>
    <row r="261" ht="15" customHeight="1">
      <c r="A261" t="inlineStr">
        <is>
          <t>A 25479-2025</t>
        </is>
      </c>
      <c r="B261" s="1" t="n">
        <v>45802</v>
      </c>
      <c r="C261" s="1" t="n">
        <v>45962</v>
      </c>
      <c r="D261" t="inlineStr">
        <is>
          <t>SKÅNE LÄN</t>
        </is>
      </c>
      <c r="E261" t="inlineStr">
        <is>
          <t>HÖRBY</t>
        </is>
      </c>
      <c r="G261" t="n">
        <v>0.7</v>
      </c>
      <c r="H261" t="n">
        <v>0</v>
      </c>
      <c r="I261" t="n">
        <v>1</v>
      </c>
      <c r="J261" t="n">
        <v>0</v>
      </c>
      <c r="K261" t="n">
        <v>0</v>
      </c>
      <c r="L261" t="n">
        <v>0</v>
      </c>
      <c r="M261" t="n">
        <v>0</v>
      </c>
      <c r="N261" t="n">
        <v>0</v>
      </c>
      <c r="O261" t="n">
        <v>0</v>
      </c>
      <c r="P261" t="n">
        <v>0</v>
      </c>
      <c r="Q261" t="n">
        <v>1</v>
      </c>
      <c r="R261" s="2" t="inlineStr">
        <is>
          <t>Lundvårlök</t>
        </is>
      </c>
      <c r="S261">
        <f>HYPERLINK("https://klasma.github.io/Logging_1266/artfynd/A 25479-2025 artfynd.xlsx", "A 25479-2025")</f>
        <v/>
      </c>
      <c r="T261">
        <f>HYPERLINK("https://klasma.github.io/Logging_1266/kartor/A 25479-2025 karta.png", "A 25479-2025")</f>
        <v/>
      </c>
      <c r="V261">
        <f>HYPERLINK("https://klasma.github.io/Logging_1266/klagomål/A 25479-2025 FSC-klagomål.docx", "A 25479-2025")</f>
        <v/>
      </c>
      <c r="W261">
        <f>HYPERLINK("https://klasma.github.io/Logging_1266/klagomålsmail/A 25479-2025 FSC-klagomål mail.docx", "A 25479-2025")</f>
        <v/>
      </c>
      <c r="X261">
        <f>HYPERLINK("https://klasma.github.io/Logging_1266/tillsyn/A 25479-2025 tillsynsbegäran.docx", "A 25479-2025")</f>
        <v/>
      </c>
      <c r="Y261">
        <f>HYPERLINK("https://klasma.github.io/Logging_1266/tillsynsmail/A 25479-2025 tillsynsbegäran mail.docx", "A 25479-2025")</f>
        <v/>
      </c>
    </row>
    <row r="262" ht="15" customHeight="1">
      <c r="A262" t="inlineStr">
        <is>
          <t>A 62349-2023</t>
        </is>
      </c>
      <c r="B262" s="1" t="n">
        <v>45267</v>
      </c>
      <c r="C262" s="1" t="n">
        <v>45962</v>
      </c>
      <c r="D262" t="inlineStr">
        <is>
          <t>SKÅNE LÄN</t>
        </is>
      </c>
      <c r="E262" t="inlineStr">
        <is>
          <t>KRISTIANSTAD</t>
        </is>
      </c>
      <c r="F262" t="inlineStr">
        <is>
          <t>Sveaskog</t>
        </is>
      </c>
      <c r="G262" t="n">
        <v>5.3</v>
      </c>
      <c r="H262" t="n">
        <v>1</v>
      </c>
      <c r="I262" t="n">
        <v>0</v>
      </c>
      <c r="J262" t="n">
        <v>0</v>
      </c>
      <c r="K262" t="n">
        <v>0</v>
      </c>
      <c r="L262" t="n">
        <v>0</v>
      </c>
      <c r="M262" t="n">
        <v>0</v>
      </c>
      <c r="N262" t="n">
        <v>0</v>
      </c>
      <c r="O262" t="n">
        <v>0</v>
      </c>
      <c r="P262" t="n">
        <v>0</v>
      </c>
      <c r="Q262" t="n">
        <v>1</v>
      </c>
      <c r="R262" s="2" t="inlineStr">
        <is>
          <t>Nattskärra</t>
        </is>
      </c>
      <c r="S262">
        <f>HYPERLINK("https://klasma.github.io/Logging_1290/artfynd/A 62349-2023 artfynd.xlsx", "A 62349-2023")</f>
        <v/>
      </c>
      <c r="T262">
        <f>HYPERLINK("https://klasma.github.io/Logging_1290/kartor/A 62349-2023 karta.png", "A 62349-2023")</f>
        <v/>
      </c>
      <c r="V262">
        <f>HYPERLINK("https://klasma.github.io/Logging_1290/klagomål/A 62349-2023 FSC-klagomål.docx", "A 62349-2023")</f>
        <v/>
      </c>
      <c r="W262">
        <f>HYPERLINK("https://klasma.github.io/Logging_1290/klagomålsmail/A 62349-2023 FSC-klagomål mail.docx", "A 62349-2023")</f>
        <v/>
      </c>
      <c r="X262">
        <f>HYPERLINK("https://klasma.github.io/Logging_1290/tillsyn/A 62349-2023 tillsynsbegäran.docx", "A 62349-2023")</f>
        <v/>
      </c>
      <c r="Y262">
        <f>HYPERLINK("https://klasma.github.io/Logging_1290/tillsynsmail/A 62349-2023 tillsynsbegäran mail.docx", "A 62349-2023")</f>
        <v/>
      </c>
      <c r="Z262">
        <f>HYPERLINK("https://klasma.github.io/Logging_1290/fåglar/A 62349-2023 prioriterade fågelarter.docx", "A 62349-2023")</f>
        <v/>
      </c>
    </row>
    <row r="263" ht="15" customHeight="1">
      <c r="A263" t="inlineStr">
        <is>
          <t>A 1188-2024</t>
        </is>
      </c>
      <c r="B263" s="1" t="n">
        <v>45302</v>
      </c>
      <c r="C263" s="1" t="n">
        <v>45962</v>
      </c>
      <c r="D263" t="inlineStr">
        <is>
          <t>SKÅNE LÄN</t>
        </is>
      </c>
      <c r="E263" t="inlineStr">
        <is>
          <t>KRISTIANSTAD</t>
        </is>
      </c>
      <c r="G263" t="n">
        <v>6.1</v>
      </c>
      <c r="H263" t="n">
        <v>1</v>
      </c>
      <c r="I263" t="n">
        <v>0</v>
      </c>
      <c r="J263" t="n">
        <v>0</v>
      </c>
      <c r="K263" t="n">
        <v>1</v>
      </c>
      <c r="L263" t="n">
        <v>0</v>
      </c>
      <c r="M263" t="n">
        <v>0</v>
      </c>
      <c r="N263" t="n">
        <v>0</v>
      </c>
      <c r="O263" t="n">
        <v>1</v>
      </c>
      <c r="P263" t="n">
        <v>1</v>
      </c>
      <c r="Q263" t="n">
        <v>1</v>
      </c>
      <c r="R263" s="2" t="inlineStr">
        <is>
          <t>Backsippa</t>
        </is>
      </c>
      <c r="S263">
        <f>HYPERLINK("https://klasma.github.io/Logging_1290/artfynd/A 1188-2024 artfynd.xlsx", "A 1188-2024")</f>
        <v/>
      </c>
      <c r="T263">
        <f>HYPERLINK("https://klasma.github.io/Logging_1290/kartor/A 1188-2024 karta.png", "A 1188-2024")</f>
        <v/>
      </c>
      <c r="V263">
        <f>HYPERLINK("https://klasma.github.io/Logging_1290/klagomål/A 1188-2024 FSC-klagomål.docx", "A 1188-2024")</f>
        <v/>
      </c>
      <c r="W263">
        <f>HYPERLINK("https://klasma.github.io/Logging_1290/klagomålsmail/A 1188-2024 FSC-klagomål mail.docx", "A 1188-2024")</f>
        <v/>
      </c>
      <c r="X263">
        <f>HYPERLINK("https://klasma.github.io/Logging_1290/tillsyn/A 1188-2024 tillsynsbegäran.docx", "A 1188-2024")</f>
        <v/>
      </c>
      <c r="Y263">
        <f>HYPERLINK("https://klasma.github.io/Logging_1290/tillsynsmail/A 1188-2024 tillsynsbegäran mail.docx", "A 1188-2024")</f>
        <v/>
      </c>
    </row>
    <row r="264" ht="15" customHeight="1">
      <c r="A264" t="inlineStr">
        <is>
          <t>A 14892-2023</t>
        </is>
      </c>
      <c r="B264" s="1" t="n">
        <v>45015</v>
      </c>
      <c r="C264" s="1" t="n">
        <v>45962</v>
      </c>
      <c r="D264" t="inlineStr">
        <is>
          <t>SKÅNE LÄN</t>
        </is>
      </c>
      <c r="E264" t="inlineStr">
        <is>
          <t>KLIPPAN</t>
        </is>
      </c>
      <c r="G264" t="n">
        <v>2.7</v>
      </c>
      <c r="H264" t="n">
        <v>1</v>
      </c>
      <c r="I264" t="n">
        <v>0</v>
      </c>
      <c r="J264" t="n">
        <v>1</v>
      </c>
      <c r="K264" t="n">
        <v>0</v>
      </c>
      <c r="L264" t="n">
        <v>0</v>
      </c>
      <c r="M264" t="n">
        <v>0</v>
      </c>
      <c r="N264" t="n">
        <v>0</v>
      </c>
      <c r="O264" t="n">
        <v>1</v>
      </c>
      <c r="P264" t="n">
        <v>0</v>
      </c>
      <c r="Q264" t="n">
        <v>1</v>
      </c>
      <c r="R264" s="2" t="inlineStr">
        <is>
          <t>Mindre hackspett</t>
        </is>
      </c>
      <c r="S264">
        <f>HYPERLINK("https://klasma.github.io/Logging_1276/artfynd/A 14892-2023 artfynd.xlsx", "A 14892-2023")</f>
        <v/>
      </c>
      <c r="T264">
        <f>HYPERLINK("https://klasma.github.io/Logging_1276/kartor/A 14892-2023 karta.png", "A 14892-2023")</f>
        <v/>
      </c>
      <c r="V264">
        <f>HYPERLINK("https://klasma.github.io/Logging_1276/klagomål/A 14892-2023 FSC-klagomål.docx", "A 14892-2023")</f>
        <v/>
      </c>
      <c r="W264">
        <f>HYPERLINK("https://klasma.github.io/Logging_1276/klagomålsmail/A 14892-2023 FSC-klagomål mail.docx", "A 14892-2023")</f>
        <v/>
      </c>
      <c r="X264">
        <f>HYPERLINK("https://klasma.github.io/Logging_1276/tillsyn/A 14892-2023 tillsynsbegäran.docx", "A 14892-2023")</f>
        <v/>
      </c>
      <c r="Y264">
        <f>HYPERLINK("https://klasma.github.io/Logging_1276/tillsynsmail/A 14892-2023 tillsynsbegäran mail.docx", "A 14892-2023")</f>
        <v/>
      </c>
      <c r="Z264">
        <f>HYPERLINK("https://klasma.github.io/Logging_1276/fåglar/A 14892-2023 prioriterade fågelarter.docx", "A 14892-2023")</f>
        <v/>
      </c>
    </row>
    <row r="265" ht="15" customHeight="1">
      <c r="A265" t="inlineStr">
        <is>
          <t>A 9289-2025</t>
        </is>
      </c>
      <c r="B265" s="1" t="n">
        <v>45714</v>
      </c>
      <c r="C265" s="1" t="n">
        <v>45962</v>
      </c>
      <c r="D265" t="inlineStr">
        <is>
          <t>SKÅNE LÄN</t>
        </is>
      </c>
      <c r="E265" t="inlineStr">
        <is>
          <t>HÄSSLEHOLM</t>
        </is>
      </c>
      <c r="G265" t="n">
        <v>18</v>
      </c>
      <c r="H265" t="n">
        <v>0</v>
      </c>
      <c r="I265" t="n">
        <v>1</v>
      </c>
      <c r="J265" t="n">
        <v>0</v>
      </c>
      <c r="K265" t="n">
        <v>0</v>
      </c>
      <c r="L265" t="n">
        <v>0</v>
      </c>
      <c r="M265" t="n">
        <v>0</v>
      </c>
      <c r="N265" t="n">
        <v>0</v>
      </c>
      <c r="O265" t="n">
        <v>0</v>
      </c>
      <c r="P265" t="n">
        <v>0</v>
      </c>
      <c r="Q265" t="n">
        <v>1</v>
      </c>
      <c r="R265" s="2" t="inlineStr">
        <is>
          <t>Tibast</t>
        </is>
      </c>
      <c r="S265">
        <f>HYPERLINK("https://klasma.github.io/Logging_1293/artfynd/A 9289-2025 artfynd.xlsx", "A 9289-2025")</f>
        <v/>
      </c>
      <c r="T265">
        <f>HYPERLINK("https://klasma.github.io/Logging_1293/kartor/A 9289-2025 karta.png", "A 9289-2025")</f>
        <v/>
      </c>
      <c r="V265">
        <f>HYPERLINK("https://klasma.github.io/Logging_1293/klagomål/A 9289-2025 FSC-klagomål.docx", "A 9289-2025")</f>
        <v/>
      </c>
      <c r="W265">
        <f>HYPERLINK("https://klasma.github.io/Logging_1293/klagomålsmail/A 9289-2025 FSC-klagomål mail.docx", "A 9289-2025")</f>
        <v/>
      </c>
      <c r="X265">
        <f>HYPERLINK("https://klasma.github.io/Logging_1293/tillsyn/A 9289-2025 tillsynsbegäran.docx", "A 9289-2025")</f>
        <v/>
      </c>
      <c r="Y265">
        <f>HYPERLINK("https://klasma.github.io/Logging_1293/tillsynsmail/A 9289-2025 tillsynsbegäran mail.docx", "A 9289-2025")</f>
        <v/>
      </c>
    </row>
    <row r="266" ht="15" customHeight="1">
      <c r="A266" t="inlineStr">
        <is>
          <t>A 8833-2021</t>
        </is>
      </c>
      <c r="B266" s="1" t="n">
        <v>44245</v>
      </c>
      <c r="C266" s="1" t="n">
        <v>45962</v>
      </c>
      <c r="D266" t="inlineStr">
        <is>
          <t>SKÅNE LÄN</t>
        </is>
      </c>
      <c r="E266" t="inlineStr">
        <is>
          <t>HÖÖR</t>
        </is>
      </c>
      <c r="G266" t="n">
        <v>2</v>
      </c>
      <c r="H266" t="n">
        <v>1</v>
      </c>
      <c r="I266" t="n">
        <v>0</v>
      </c>
      <c r="J266" t="n">
        <v>0</v>
      </c>
      <c r="K266" t="n">
        <v>0</v>
      </c>
      <c r="L266" t="n">
        <v>0</v>
      </c>
      <c r="M266" t="n">
        <v>0</v>
      </c>
      <c r="N266" t="n">
        <v>0</v>
      </c>
      <c r="O266" t="n">
        <v>0</v>
      </c>
      <c r="P266" t="n">
        <v>0</v>
      </c>
      <c r="Q266" t="n">
        <v>1</v>
      </c>
      <c r="R266" s="2" t="inlineStr">
        <is>
          <t>Mattlummer</t>
        </is>
      </c>
      <c r="S266">
        <f>HYPERLINK("https://klasma.github.io/Logging_1267/artfynd/A 8833-2021 artfynd.xlsx", "A 8833-2021")</f>
        <v/>
      </c>
      <c r="T266">
        <f>HYPERLINK("https://klasma.github.io/Logging_1267/kartor/A 8833-2021 karta.png", "A 8833-2021")</f>
        <v/>
      </c>
      <c r="V266">
        <f>HYPERLINK("https://klasma.github.io/Logging_1267/klagomål/A 8833-2021 FSC-klagomål.docx", "A 8833-2021")</f>
        <v/>
      </c>
      <c r="W266">
        <f>HYPERLINK("https://klasma.github.io/Logging_1267/klagomålsmail/A 8833-2021 FSC-klagomål mail.docx", "A 8833-2021")</f>
        <v/>
      </c>
      <c r="X266">
        <f>HYPERLINK("https://klasma.github.io/Logging_1267/tillsyn/A 8833-2021 tillsynsbegäran.docx", "A 8833-2021")</f>
        <v/>
      </c>
      <c r="Y266">
        <f>HYPERLINK("https://klasma.github.io/Logging_1267/tillsynsmail/A 8833-2021 tillsynsbegäran mail.docx", "A 8833-2021")</f>
        <v/>
      </c>
    </row>
    <row r="267" ht="15" customHeight="1">
      <c r="A267" t="inlineStr">
        <is>
          <t>A 40135-2022</t>
        </is>
      </c>
      <c r="B267" s="1" t="n">
        <v>44820</v>
      </c>
      <c r="C267" s="1" t="n">
        <v>45962</v>
      </c>
      <c r="D267" t="inlineStr">
        <is>
          <t>SKÅNE LÄN</t>
        </is>
      </c>
      <c r="E267" t="inlineStr">
        <is>
          <t>ÖSTRA GÖINGE</t>
        </is>
      </c>
      <c r="G267" t="n">
        <v>3.7</v>
      </c>
      <c r="H267" t="n">
        <v>0</v>
      </c>
      <c r="I267" t="n">
        <v>1</v>
      </c>
      <c r="J267" t="n">
        <v>0</v>
      </c>
      <c r="K267" t="n">
        <v>0</v>
      </c>
      <c r="L267" t="n">
        <v>0</v>
      </c>
      <c r="M267" t="n">
        <v>0</v>
      </c>
      <c r="N267" t="n">
        <v>0</v>
      </c>
      <c r="O267" t="n">
        <v>0</v>
      </c>
      <c r="P267" t="n">
        <v>0</v>
      </c>
      <c r="Q267" t="n">
        <v>1</v>
      </c>
      <c r="R267" s="2" t="inlineStr">
        <is>
          <t>Fällmossa</t>
        </is>
      </c>
      <c r="S267">
        <f>HYPERLINK("https://klasma.github.io/Logging_1256/artfynd/A 40135-2022 artfynd.xlsx", "A 40135-2022")</f>
        <v/>
      </c>
      <c r="T267">
        <f>HYPERLINK("https://klasma.github.io/Logging_1256/kartor/A 40135-2022 karta.png", "A 40135-2022")</f>
        <v/>
      </c>
      <c r="V267">
        <f>HYPERLINK("https://klasma.github.io/Logging_1256/klagomål/A 40135-2022 FSC-klagomål.docx", "A 40135-2022")</f>
        <v/>
      </c>
      <c r="W267">
        <f>HYPERLINK("https://klasma.github.io/Logging_1256/klagomålsmail/A 40135-2022 FSC-klagomål mail.docx", "A 40135-2022")</f>
        <v/>
      </c>
      <c r="X267">
        <f>HYPERLINK("https://klasma.github.io/Logging_1256/tillsyn/A 40135-2022 tillsynsbegäran.docx", "A 40135-2022")</f>
        <v/>
      </c>
      <c r="Y267">
        <f>HYPERLINK("https://klasma.github.io/Logging_1256/tillsynsmail/A 40135-2022 tillsynsbegäran mail.docx", "A 40135-2022")</f>
        <v/>
      </c>
    </row>
    <row r="268" ht="15" customHeight="1">
      <c r="A268" t="inlineStr">
        <is>
          <t>A 54523-2024</t>
        </is>
      </c>
      <c r="B268" s="1" t="n">
        <v>45617</v>
      </c>
      <c r="C268" s="1" t="n">
        <v>45962</v>
      </c>
      <c r="D268" t="inlineStr">
        <is>
          <t>SKÅNE LÄN</t>
        </is>
      </c>
      <c r="E268" t="inlineStr">
        <is>
          <t>HÄSSLEHOLM</t>
        </is>
      </c>
      <c r="G268" t="n">
        <v>4.5</v>
      </c>
      <c r="H268" t="n">
        <v>1</v>
      </c>
      <c r="I268" t="n">
        <v>0</v>
      </c>
      <c r="J268" t="n">
        <v>0</v>
      </c>
      <c r="K268" t="n">
        <v>0</v>
      </c>
      <c r="L268" t="n">
        <v>0</v>
      </c>
      <c r="M268" t="n">
        <v>0</v>
      </c>
      <c r="N268" t="n">
        <v>0</v>
      </c>
      <c r="O268" t="n">
        <v>0</v>
      </c>
      <c r="P268" t="n">
        <v>0</v>
      </c>
      <c r="Q268" t="n">
        <v>1</v>
      </c>
      <c r="R268" s="2" t="inlineStr">
        <is>
          <t>Grönvit nattviol</t>
        </is>
      </c>
      <c r="S268">
        <f>HYPERLINK("https://klasma.github.io/Logging_1293/artfynd/A 54523-2024 artfynd.xlsx", "A 54523-2024")</f>
        <v/>
      </c>
      <c r="T268">
        <f>HYPERLINK("https://klasma.github.io/Logging_1293/kartor/A 54523-2024 karta.png", "A 54523-2024")</f>
        <v/>
      </c>
      <c r="V268">
        <f>HYPERLINK("https://klasma.github.io/Logging_1293/klagomål/A 54523-2024 FSC-klagomål.docx", "A 54523-2024")</f>
        <v/>
      </c>
      <c r="W268">
        <f>HYPERLINK("https://klasma.github.io/Logging_1293/klagomålsmail/A 54523-2024 FSC-klagomål mail.docx", "A 54523-2024")</f>
        <v/>
      </c>
      <c r="X268">
        <f>HYPERLINK("https://klasma.github.io/Logging_1293/tillsyn/A 54523-2024 tillsynsbegäran.docx", "A 54523-2024")</f>
        <v/>
      </c>
      <c r="Y268">
        <f>HYPERLINK("https://klasma.github.io/Logging_1293/tillsynsmail/A 54523-2024 tillsynsbegäran mail.docx", "A 54523-2024")</f>
        <v/>
      </c>
    </row>
    <row r="269" ht="15" customHeight="1">
      <c r="A269" t="inlineStr">
        <is>
          <t>A 27234-2025</t>
        </is>
      </c>
      <c r="B269" s="1" t="n">
        <v>45812.44396990741</v>
      </c>
      <c r="C269" s="1" t="n">
        <v>45962</v>
      </c>
      <c r="D269" t="inlineStr">
        <is>
          <t>SKÅNE LÄN</t>
        </is>
      </c>
      <c r="E269" t="inlineStr">
        <is>
          <t>KRISTIANSTAD</t>
        </is>
      </c>
      <c r="G269" t="n">
        <v>1.5</v>
      </c>
      <c r="H269" t="n">
        <v>0</v>
      </c>
      <c r="I269" t="n">
        <v>0</v>
      </c>
      <c r="J269" t="n">
        <v>0</v>
      </c>
      <c r="K269" t="n">
        <v>1</v>
      </c>
      <c r="L269" t="n">
        <v>0</v>
      </c>
      <c r="M269" t="n">
        <v>0</v>
      </c>
      <c r="N269" t="n">
        <v>0</v>
      </c>
      <c r="O269" t="n">
        <v>1</v>
      </c>
      <c r="P269" t="n">
        <v>1</v>
      </c>
      <c r="Q269" t="n">
        <v>1</v>
      </c>
      <c r="R269" s="2" t="inlineStr">
        <is>
          <t>Småvänderot</t>
        </is>
      </c>
      <c r="S269">
        <f>HYPERLINK("https://klasma.github.io/Logging_1290/artfynd/A 27234-2025 artfynd.xlsx", "A 27234-2025")</f>
        <v/>
      </c>
      <c r="T269">
        <f>HYPERLINK("https://klasma.github.io/Logging_1290/kartor/A 27234-2025 karta.png", "A 27234-2025")</f>
        <v/>
      </c>
      <c r="V269">
        <f>HYPERLINK("https://klasma.github.io/Logging_1290/klagomål/A 27234-2025 FSC-klagomål.docx", "A 27234-2025")</f>
        <v/>
      </c>
      <c r="W269">
        <f>HYPERLINK("https://klasma.github.io/Logging_1290/klagomålsmail/A 27234-2025 FSC-klagomål mail.docx", "A 27234-2025")</f>
        <v/>
      </c>
      <c r="X269">
        <f>HYPERLINK("https://klasma.github.io/Logging_1290/tillsyn/A 27234-2025 tillsynsbegäran.docx", "A 27234-2025")</f>
        <v/>
      </c>
      <c r="Y269">
        <f>HYPERLINK("https://klasma.github.io/Logging_1290/tillsynsmail/A 27234-2025 tillsynsbegäran mail.docx", "A 27234-2025")</f>
        <v/>
      </c>
    </row>
    <row r="270" ht="15" customHeight="1">
      <c r="A270" t="inlineStr">
        <is>
          <t>A 27390-2025</t>
        </is>
      </c>
      <c r="B270" s="1" t="n">
        <v>45812.67840277778</v>
      </c>
      <c r="C270" s="1" t="n">
        <v>45962</v>
      </c>
      <c r="D270" t="inlineStr">
        <is>
          <t>SKÅNE LÄN</t>
        </is>
      </c>
      <c r="E270" t="inlineStr">
        <is>
          <t>HÄSSLEHOLM</t>
        </is>
      </c>
      <c r="G270" t="n">
        <v>3.2</v>
      </c>
      <c r="H270" t="n">
        <v>0</v>
      </c>
      <c r="I270" t="n">
        <v>0</v>
      </c>
      <c r="J270" t="n">
        <v>1</v>
      </c>
      <c r="K270" t="n">
        <v>0</v>
      </c>
      <c r="L270" t="n">
        <v>0</v>
      </c>
      <c r="M270" t="n">
        <v>0</v>
      </c>
      <c r="N270" t="n">
        <v>0</v>
      </c>
      <c r="O270" t="n">
        <v>1</v>
      </c>
      <c r="P270" t="n">
        <v>0</v>
      </c>
      <c r="Q270" t="n">
        <v>1</v>
      </c>
      <c r="R270" s="2" t="inlineStr">
        <is>
          <t>Grönhjon</t>
        </is>
      </c>
      <c r="S270">
        <f>HYPERLINK("https://klasma.github.io/Logging_1293/artfynd/A 27390-2025 artfynd.xlsx", "A 27390-2025")</f>
        <v/>
      </c>
      <c r="T270">
        <f>HYPERLINK("https://klasma.github.io/Logging_1293/kartor/A 27390-2025 karta.png", "A 27390-2025")</f>
        <v/>
      </c>
      <c r="V270">
        <f>HYPERLINK("https://klasma.github.io/Logging_1293/klagomål/A 27390-2025 FSC-klagomål.docx", "A 27390-2025")</f>
        <v/>
      </c>
      <c r="W270">
        <f>HYPERLINK("https://klasma.github.io/Logging_1293/klagomålsmail/A 27390-2025 FSC-klagomål mail.docx", "A 27390-2025")</f>
        <v/>
      </c>
      <c r="X270">
        <f>HYPERLINK("https://klasma.github.io/Logging_1293/tillsyn/A 27390-2025 tillsynsbegäran.docx", "A 27390-2025")</f>
        <v/>
      </c>
      <c r="Y270">
        <f>HYPERLINK("https://klasma.github.io/Logging_1293/tillsynsmail/A 27390-2025 tillsynsbegäran mail.docx", "A 27390-2025")</f>
        <v/>
      </c>
    </row>
    <row r="271" ht="15" customHeight="1">
      <c r="A271" t="inlineStr">
        <is>
          <t>A 38013-2022</t>
        </is>
      </c>
      <c r="B271" s="1" t="n">
        <v>44811</v>
      </c>
      <c r="C271" s="1" t="n">
        <v>45962</v>
      </c>
      <c r="D271" t="inlineStr">
        <is>
          <t>SKÅNE LÄN</t>
        </is>
      </c>
      <c r="E271" t="inlineStr">
        <is>
          <t>BÅSTAD</t>
        </is>
      </c>
      <c r="G271" t="n">
        <v>5.3</v>
      </c>
      <c r="H271" t="n">
        <v>0</v>
      </c>
      <c r="I271" t="n">
        <v>0</v>
      </c>
      <c r="J271" t="n">
        <v>1</v>
      </c>
      <c r="K271" t="n">
        <v>0</v>
      </c>
      <c r="L271" t="n">
        <v>0</v>
      </c>
      <c r="M271" t="n">
        <v>0</v>
      </c>
      <c r="N271" t="n">
        <v>0</v>
      </c>
      <c r="O271" t="n">
        <v>1</v>
      </c>
      <c r="P271" t="n">
        <v>0</v>
      </c>
      <c r="Q271" t="n">
        <v>1</v>
      </c>
      <c r="R271" s="2" t="inlineStr">
        <is>
          <t>Igelkott</t>
        </is>
      </c>
      <c r="S271">
        <f>HYPERLINK("https://klasma.github.io/Logging_1278/artfynd/A 38013-2022 artfynd.xlsx", "A 38013-2022")</f>
        <v/>
      </c>
      <c r="T271">
        <f>HYPERLINK("https://klasma.github.io/Logging_1278/kartor/A 38013-2022 karta.png", "A 38013-2022")</f>
        <v/>
      </c>
      <c r="V271">
        <f>HYPERLINK("https://klasma.github.io/Logging_1278/klagomål/A 38013-2022 FSC-klagomål.docx", "A 38013-2022")</f>
        <v/>
      </c>
      <c r="W271">
        <f>HYPERLINK("https://klasma.github.io/Logging_1278/klagomålsmail/A 38013-2022 FSC-klagomål mail.docx", "A 38013-2022")</f>
        <v/>
      </c>
      <c r="X271">
        <f>HYPERLINK("https://klasma.github.io/Logging_1278/tillsyn/A 38013-2022 tillsynsbegäran.docx", "A 38013-2022")</f>
        <v/>
      </c>
      <c r="Y271">
        <f>HYPERLINK("https://klasma.github.io/Logging_1278/tillsynsmail/A 38013-2022 tillsynsbegäran mail.docx", "A 38013-2022")</f>
        <v/>
      </c>
    </row>
    <row r="272" ht="15" customHeight="1">
      <c r="A272" t="inlineStr">
        <is>
          <t>A 20090-2024</t>
        </is>
      </c>
      <c r="B272" s="1" t="n">
        <v>45434</v>
      </c>
      <c r="C272" s="1" t="n">
        <v>45962</v>
      </c>
      <c r="D272" t="inlineStr">
        <is>
          <t>SKÅNE LÄN</t>
        </is>
      </c>
      <c r="E272" t="inlineStr">
        <is>
          <t>SIMRISHAMN</t>
        </is>
      </c>
      <c r="G272" t="n">
        <v>2.4</v>
      </c>
      <c r="H272" t="n">
        <v>1</v>
      </c>
      <c r="I272" t="n">
        <v>0</v>
      </c>
      <c r="J272" t="n">
        <v>0</v>
      </c>
      <c r="K272" t="n">
        <v>0</v>
      </c>
      <c r="L272" t="n">
        <v>0</v>
      </c>
      <c r="M272" t="n">
        <v>0</v>
      </c>
      <c r="N272" t="n">
        <v>0</v>
      </c>
      <c r="O272" t="n">
        <v>0</v>
      </c>
      <c r="P272" t="n">
        <v>0</v>
      </c>
      <c r="Q272" t="n">
        <v>1</v>
      </c>
      <c r="R272" s="2" t="inlineStr">
        <is>
          <t>Hasselmus</t>
        </is>
      </c>
      <c r="S272">
        <f>HYPERLINK("https://klasma.github.io/Logging_1291/artfynd/A 20090-2024 artfynd.xlsx", "A 20090-2024")</f>
        <v/>
      </c>
      <c r="T272">
        <f>HYPERLINK("https://klasma.github.io/Logging_1291/kartor/A 20090-2024 karta.png", "A 20090-2024")</f>
        <v/>
      </c>
      <c r="V272">
        <f>HYPERLINK("https://klasma.github.io/Logging_1291/klagomål/A 20090-2024 FSC-klagomål.docx", "A 20090-2024")</f>
        <v/>
      </c>
      <c r="W272">
        <f>HYPERLINK("https://klasma.github.io/Logging_1291/klagomålsmail/A 20090-2024 FSC-klagomål mail.docx", "A 20090-2024")</f>
        <v/>
      </c>
      <c r="X272">
        <f>HYPERLINK("https://klasma.github.io/Logging_1291/tillsyn/A 20090-2024 tillsynsbegäran.docx", "A 20090-2024")</f>
        <v/>
      </c>
      <c r="Y272">
        <f>HYPERLINK("https://klasma.github.io/Logging_1291/tillsynsmail/A 20090-2024 tillsynsbegäran mail.docx", "A 20090-2024")</f>
        <v/>
      </c>
    </row>
    <row r="273" ht="15" customHeight="1">
      <c r="A273" t="inlineStr">
        <is>
          <t>A 16837-2023</t>
        </is>
      </c>
      <c r="B273" s="1" t="n">
        <v>45033.43498842593</v>
      </c>
      <c r="C273" s="1" t="n">
        <v>45962</v>
      </c>
      <c r="D273" t="inlineStr">
        <is>
          <t>SKÅNE LÄN</t>
        </is>
      </c>
      <c r="E273" t="inlineStr">
        <is>
          <t>OSBY</t>
        </is>
      </c>
      <c r="G273" t="n">
        <v>0.7</v>
      </c>
      <c r="H273" t="n">
        <v>1</v>
      </c>
      <c r="I273" t="n">
        <v>0</v>
      </c>
      <c r="J273" t="n">
        <v>1</v>
      </c>
      <c r="K273" t="n">
        <v>0</v>
      </c>
      <c r="L273" t="n">
        <v>0</v>
      </c>
      <c r="M273" t="n">
        <v>0</v>
      </c>
      <c r="N273" t="n">
        <v>0</v>
      </c>
      <c r="O273" t="n">
        <v>1</v>
      </c>
      <c r="P273" t="n">
        <v>0</v>
      </c>
      <c r="Q273" t="n">
        <v>1</v>
      </c>
      <c r="R273" s="2" t="inlineStr">
        <is>
          <t>Talltita</t>
        </is>
      </c>
      <c r="S273">
        <f>HYPERLINK("https://klasma.github.io/Logging_1273/artfynd/A 16837-2023 artfynd.xlsx", "A 16837-2023")</f>
        <v/>
      </c>
      <c r="T273">
        <f>HYPERLINK("https://klasma.github.io/Logging_1273/kartor/A 16837-2023 karta.png", "A 16837-2023")</f>
        <v/>
      </c>
      <c r="V273">
        <f>HYPERLINK("https://klasma.github.io/Logging_1273/klagomål/A 16837-2023 FSC-klagomål.docx", "A 16837-2023")</f>
        <v/>
      </c>
      <c r="W273">
        <f>HYPERLINK("https://klasma.github.io/Logging_1273/klagomålsmail/A 16837-2023 FSC-klagomål mail.docx", "A 16837-2023")</f>
        <v/>
      </c>
      <c r="X273">
        <f>HYPERLINK("https://klasma.github.io/Logging_1273/tillsyn/A 16837-2023 tillsynsbegäran.docx", "A 16837-2023")</f>
        <v/>
      </c>
      <c r="Y273">
        <f>HYPERLINK("https://klasma.github.io/Logging_1273/tillsynsmail/A 16837-2023 tillsynsbegäran mail.docx", "A 16837-2023")</f>
        <v/>
      </c>
      <c r="Z273">
        <f>HYPERLINK("https://klasma.github.io/Logging_1273/fåglar/A 16837-2023 prioriterade fågelarter.docx", "A 16837-2023")</f>
        <v/>
      </c>
    </row>
    <row r="274" ht="15" customHeight="1">
      <c r="A274" t="inlineStr">
        <is>
          <t>A 3401-2024</t>
        </is>
      </c>
      <c r="B274" s="1" t="n">
        <v>45318</v>
      </c>
      <c r="C274" s="1" t="n">
        <v>45962</v>
      </c>
      <c r="D274" t="inlineStr">
        <is>
          <t>SKÅNE LÄN</t>
        </is>
      </c>
      <c r="E274" t="inlineStr">
        <is>
          <t>SIMRISHAMN</t>
        </is>
      </c>
      <c r="G274" t="n">
        <v>6.8</v>
      </c>
      <c r="H274" t="n">
        <v>0</v>
      </c>
      <c r="I274" t="n">
        <v>0</v>
      </c>
      <c r="J274" t="n">
        <v>1</v>
      </c>
      <c r="K274" t="n">
        <v>0</v>
      </c>
      <c r="L274" t="n">
        <v>0</v>
      </c>
      <c r="M274" t="n">
        <v>0</v>
      </c>
      <c r="N274" t="n">
        <v>0</v>
      </c>
      <c r="O274" t="n">
        <v>1</v>
      </c>
      <c r="P274" t="n">
        <v>0</v>
      </c>
      <c r="Q274" t="n">
        <v>1</v>
      </c>
      <c r="R274" s="2" t="inlineStr">
        <is>
          <t>Borsttåg</t>
        </is>
      </c>
      <c r="S274">
        <f>HYPERLINK("https://klasma.github.io/Logging_1291/artfynd/A 3401-2024 artfynd.xlsx", "A 3401-2024")</f>
        <v/>
      </c>
      <c r="T274">
        <f>HYPERLINK("https://klasma.github.io/Logging_1291/kartor/A 3401-2024 karta.png", "A 3401-2024")</f>
        <v/>
      </c>
      <c r="V274">
        <f>HYPERLINK("https://klasma.github.io/Logging_1291/klagomål/A 3401-2024 FSC-klagomål.docx", "A 3401-2024")</f>
        <v/>
      </c>
      <c r="W274">
        <f>HYPERLINK("https://klasma.github.io/Logging_1291/klagomålsmail/A 3401-2024 FSC-klagomål mail.docx", "A 3401-2024")</f>
        <v/>
      </c>
      <c r="X274">
        <f>HYPERLINK("https://klasma.github.io/Logging_1291/tillsyn/A 3401-2024 tillsynsbegäran.docx", "A 3401-2024")</f>
        <v/>
      </c>
      <c r="Y274">
        <f>HYPERLINK("https://klasma.github.io/Logging_1291/tillsynsmail/A 3401-2024 tillsynsbegäran mail.docx", "A 3401-2024")</f>
        <v/>
      </c>
    </row>
    <row r="275" ht="15" customHeight="1">
      <c r="A275" t="inlineStr">
        <is>
          <t>A 27230-2024</t>
        </is>
      </c>
      <c r="B275" s="1" t="n">
        <v>45471</v>
      </c>
      <c r="C275" s="1" t="n">
        <v>45962</v>
      </c>
      <c r="D275" t="inlineStr">
        <is>
          <t>SKÅNE LÄN</t>
        </is>
      </c>
      <c r="E275" t="inlineStr">
        <is>
          <t>SJÖBO</t>
        </is>
      </c>
      <c r="G275" t="n">
        <v>1.5</v>
      </c>
      <c r="H275" t="n">
        <v>1</v>
      </c>
      <c r="I275" t="n">
        <v>0</v>
      </c>
      <c r="J275" t="n">
        <v>1</v>
      </c>
      <c r="K275" t="n">
        <v>0</v>
      </c>
      <c r="L275" t="n">
        <v>0</v>
      </c>
      <c r="M275" t="n">
        <v>0</v>
      </c>
      <c r="N275" t="n">
        <v>0</v>
      </c>
      <c r="O275" t="n">
        <v>1</v>
      </c>
      <c r="P275" t="n">
        <v>0</v>
      </c>
      <c r="Q275" t="n">
        <v>1</v>
      </c>
      <c r="R275" s="2" t="inlineStr">
        <is>
          <t>Havsörn</t>
        </is>
      </c>
      <c r="S275">
        <f>HYPERLINK("https://klasma.github.io/Logging_1265/artfynd/A 27230-2024 artfynd.xlsx", "A 27230-2024")</f>
        <v/>
      </c>
      <c r="T275">
        <f>HYPERLINK("https://klasma.github.io/Logging_1265/kartor/A 27230-2024 karta.png", "A 27230-2024")</f>
        <v/>
      </c>
      <c r="V275">
        <f>HYPERLINK("https://klasma.github.io/Logging_1265/klagomål/A 27230-2024 FSC-klagomål.docx", "A 27230-2024")</f>
        <v/>
      </c>
      <c r="W275">
        <f>HYPERLINK("https://klasma.github.io/Logging_1265/klagomålsmail/A 27230-2024 FSC-klagomål mail.docx", "A 27230-2024")</f>
        <v/>
      </c>
      <c r="X275">
        <f>HYPERLINK("https://klasma.github.io/Logging_1265/tillsyn/A 27230-2024 tillsynsbegäran.docx", "A 27230-2024")</f>
        <v/>
      </c>
      <c r="Y275">
        <f>HYPERLINK("https://klasma.github.io/Logging_1265/tillsynsmail/A 27230-2024 tillsynsbegäran mail.docx", "A 27230-2024")</f>
        <v/>
      </c>
      <c r="Z275">
        <f>HYPERLINK("https://klasma.github.io/Logging_1265/fåglar/A 27230-2024 prioriterade fågelarter.docx", "A 27230-2024")</f>
        <v/>
      </c>
    </row>
    <row r="276" ht="15" customHeight="1">
      <c r="A276" t="inlineStr">
        <is>
          <t>A 8150-2024</t>
        </is>
      </c>
      <c r="B276" s="1" t="n">
        <v>45351</v>
      </c>
      <c r="C276" s="1" t="n">
        <v>45962</v>
      </c>
      <c r="D276" t="inlineStr">
        <is>
          <t>SKÅNE LÄN</t>
        </is>
      </c>
      <c r="E276" t="inlineStr">
        <is>
          <t>SJÖBO</t>
        </is>
      </c>
      <c r="G276" t="n">
        <v>1.3</v>
      </c>
      <c r="H276" t="n">
        <v>0</v>
      </c>
      <c r="I276" t="n">
        <v>0</v>
      </c>
      <c r="J276" t="n">
        <v>0</v>
      </c>
      <c r="K276" t="n">
        <v>1</v>
      </c>
      <c r="L276" t="n">
        <v>0</v>
      </c>
      <c r="M276" t="n">
        <v>0</v>
      </c>
      <c r="N276" t="n">
        <v>0</v>
      </c>
      <c r="O276" t="n">
        <v>1</v>
      </c>
      <c r="P276" t="n">
        <v>1</v>
      </c>
      <c r="Q276" t="n">
        <v>1</v>
      </c>
      <c r="R276" s="2" t="inlineStr">
        <is>
          <t>Fläcklungört</t>
        </is>
      </c>
      <c r="S276">
        <f>HYPERLINK("https://klasma.github.io/Logging_1265/artfynd/A 8150-2024 artfynd.xlsx", "A 8150-2024")</f>
        <v/>
      </c>
      <c r="T276">
        <f>HYPERLINK("https://klasma.github.io/Logging_1265/kartor/A 8150-2024 karta.png", "A 8150-2024")</f>
        <v/>
      </c>
      <c r="V276">
        <f>HYPERLINK("https://klasma.github.io/Logging_1265/klagomål/A 8150-2024 FSC-klagomål.docx", "A 8150-2024")</f>
        <v/>
      </c>
      <c r="W276">
        <f>HYPERLINK("https://klasma.github.io/Logging_1265/klagomålsmail/A 8150-2024 FSC-klagomål mail.docx", "A 8150-2024")</f>
        <v/>
      </c>
      <c r="X276">
        <f>HYPERLINK("https://klasma.github.io/Logging_1265/tillsyn/A 8150-2024 tillsynsbegäran.docx", "A 8150-2024")</f>
        <v/>
      </c>
      <c r="Y276">
        <f>HYPERLINK("https://klasma.github.io/Logging_1265/tillsynsmail/A 8150-2024 tillsynsbegäran mail.docx", "A 8150-2024")</f>
        <v/>
      </c>
    </row>
    <row r="277" ht="15" customHeight="1">
      <c r="A277" t="inlineStr">
        <is>
          <t>A 30526-2024</t>
        </is>
      </c>
      <c r="B277" s="1" t="n">
        <v>45492</v>
      </c>
      <c r="C277" s="1" t="n">
        <v>45962</v>
      </c>
      <c r="D277" t="inlineStr">
        <is>
          <t>SKÅNE LÄN</t>
        </is>
      </c>
      <c r="E277" t="inlineStr">
        <is>
          <t>KRISTIANSTAD</t>
        </is>
      </c>
      <c r="G277" t="n">
        <v>2.3</v>
      </c>
      <c r="H277" t="n">
        <v>1</v>
      </c>
      <c r="I277" t="n">
        <v>0</v>
      </c>
      <c r="J277" t="n">
        <v>0</v>
      </c>
      <c r="K277" t="n">
        <v>0</v>
      </c>
      <c r="L277" t="n">
        <v>1</v>
      </c>
      <c r="M277" t="n">
        <v>0</v>
      </c>
      <c r="N277" t="n">
        <v>0</v>
      </c>
      <c r="O277" t="n">
        <v>1</v>
      </c>
      <c r="P277" t="n">
        <v>1</v>
      </c>
      <c r="Q277" t="n">
        <v>1</v>
      </c>
      <c r="R277" s="2" t="inlineStr">
        <is>
          <t>Dvärgjohannesört</t>
        </is>
      </c>
      <c r="S277">
        <f>HYPERLINK("https://klasma.github.io/Logging_1290/artfynd/A 30526-2024 artfynd.xlsx", "A 30526-2024")</f>
        <v/>
      </c>
      <c r="T277">
        <f>HYPERLINK("https://klasma.github.io/Logging_1290/kartor/A 30526-2024 karta.png", "A 30526-2024")</f>
        <v/>
      </c>
      <c r="V277">
        <f>HYPERLINK("https://klasma.github.io/Logging_1290/klagomål/A 30526-2024 FSC-klagomål.docx", "A 30526-2024")</f>
        <v/>
      </c>
      <c r="W277">
        <f>HYPERLINK("https://klasma.github.io/Logging_1290/klagomålsmail/A 30526-2024 FSC-klagomål mail.docx", "A 30526-2024")</f>
        <v/>
      </c>
      <c r="X277">
        <f>HYPERLINK("https://klasma.github.io/Logging_1290/tillsyn/A 30526-2024 tillsynsbegäran.docx", "A 30526-2024")</f>
        <v/>
      </c>
      <c r="Y277">
        <f>HYPERLINK("https://klasma.github.io/Logging_1290/tillsynsmail/A 30526-2024 tillsynsbegäran mail.docx", "A 30526-2024")</f>
        <v/>
      </c>
    </row>
    <row r="278" ht="15" customHeight="1">
      <c r="A278" t="inlineStr">
        <is>
          <t>A 60820-2023</t>
        </is>
      </c>
      <c r="B278" s="1" t="n">
        <v>45260</v>
      </c>
      <c r="C278" s="1" t="n">
        <v>45962</v>
      </c>
      <c r="D278" t="inlineStr">
        <is>
          <t>SKÅNE LÄN</t>
        </is>
      </c>
      <c r="E278" t="inlineStr">
        <is>
          <t>TOMELILLA</t>
        </is>
      </c>
      <c r="G278" t="n">
        <v>4.6</v>
      </c>
      <c r="H278" t="n">
        <v>0</v>
      </c>
      <c r="I278" t="n">
        <v>1</v>
      </c>
      <c r="J278" t="n">
        <v>0</v>
      </c>
      <c r="K278" t="n">
        <v>0</v>
      </c>
      <c r="L278" t="n">
        <v>0</v>
      </c>
      <c r="M278" t="n">
        <v>0</v>
      </c>
      <c r="N278" t="n">
        <v>0</v>
      </c>
      <c r="O278" t="n">
        <v>0</v>
      </c>
      <c r="P278" t="n">
        <v>0</v>
      </c>
      <c r="Q278" t="n">
        <v>1</v>
      </c>
      <c r="R278" s="2" t="inlineStr">
        <is>
          <t>Guldlockmossa</t>
        </is>
      </c>
      <c r="S278">
        <f>HYPERLINK("https://klasma.github.io/Logging_1270/artfynd/A 60820-2023 artfynd.xlsx", "A 60820-2023")</f>
        <v/>
      </c>
      <c r="T278">
        <f>HYPERLINK("https://klasma.github.io/Logging_1270/kartor/A 60820-2023 karta.png", "A 60820-2023")</f>
        <v/>
      </c>
      <c r="V278">
        <f>HYPERLINK("https://klasma.github.io/Logging_1270/klagomål/A 60820-2023 FSC-klagomål.docx", "A 60820-2023")</f>
        <v/>
      </c>
      <c r="W278">
        <f>HYPERLINK("https://klasma.github.io/Logging_1270/klagomålsmail/A 60820-2023 FSC-klagomål mail.docx", "A 60820-2023")</f>
        <v/>
      </c>
      <c r="X278">
        <f>HYPERLINK("https://klasma.github.io/Logging_1270/tillsyn/A 60820-2023 tillsynsbegäran.docx", "A 60820-2023")</f>
        <v/>
      </c>
      <c r="Y278">
        <f>HYPERLINK("https://klasma.github.io/Logging_1270/tillsynsmail/A 60820-2023 tillsynsbegäran mail.docx", "A 60820-2023")</f>
        <v/>
      </c>
    </row>
    <row r="279" ht="15" customHeight="1">
      <c r="A279" t="inlineStr">
        <is>
          <t>A 30452-2025</t>
        </is>
      </c>
      <c r="B279" s="1" t="n">
        <v>45827</v>
      </c>
      <c r="C279" s="1" t="n">
        <v>45962</v>
      </c>
      <c r="D279" t="inlineStr">
        <is>
          <t>SKÅNE LÄN</t>
        </is>
      </c>
      <c r="E279" t="inlineStr">
        <is>
          <t>SJÖBO</t>
        </is>
      </c>
      <c r="G279" t="n">
        <v>8.699999999999999</v>
      </c>
      <c r="H279" t="n">
        <v>0</v>
      </c>
      <c r="I279" t="n">
        <v>0</v>
      </c>
      <c r="J279" t="n">
        <v>1</v>
      </c>
      <c r="K279" t="n">
        <v>0</v>
      </c>
      <c r="L279" t="n">
        <v>0</v>
      </c>
      <c r="M279" t="n">
        <v>0</v>
      </c>
      <c r="N279" t="n">
        <v>0</v>
      </c>
      <c r="O279" t="n">
        <v>1</v>
      </c>
      <c r="P279" t="n">
        <v>0</v>
      </c>
      <c r="Q279" t="n">
        <v>1</v>
      </c>
      <c r="R279" s="2" t="inlineStr">
        <is>
          <t>Desmeknopp</t>
        </is>
      </c>
      <c r="S279">
        <f>HYPERLINK("https://klasma.github.io/Logging_1265/artfynd/A 30452-2025 artfynd.xlsx", "A 30452-2025")</f>
        <v/>
      </c>
      <c r="T279">
        <f>HYPERLINK("https://klasma.github.io/Logging_1265/kartor/A 30452-2025 karta.png", "A 30452-2025")</f>
        <v/>
      </c>
      <c r="V279">
        <f>HYPERLINK("https://klasma.github.io/Logging_1265/klagomål/A 30452-2025 FSC-klagomål.docx", "A 30452-2025")</f>
        <v/>
      </c>
      <c r="W279">
        <f>HYPERLINK("https://klasma.github.io/Logging_1265/klagomålsmail/A 30452-2025 FSC-klagomål mail.docx", "A 30452-2025")</f>
        <v/>
      </c>
      <c r="X279">
        <f>HYPERLINK("https://klasma.github.io/Logging_1265/tillsyn/A 30452-2025 tillsynsbegäran.docx", "A 30452-2025")</f>
        <v/>
      </c>
      <c r="Y279">
        <f>HYPERLINK("https://klasma.github.io/Logging_1265/tillsynsmail/A 30452-2025 tillsynsbegäran mail.docx", "A 30452-2025")</f>
        <v/>
      </c>
    </row>
    <row r="280" ht="15" customHeight="1">
      <c r="A280" t="inlineStr">
        <is>
          <t>A 46931-2025</t>
        </is>
      </c>
      <c r="B280" s="1" t="n">
        <v>45929</v>
      </c>
      <c r="C280" s="1" t="n">
        <v>45962</v>
      </c>
      <c r="D280" t="inlineStr">
        <is>
          <t>SKÅNE LÄN</t>
        </is>
      </c>
      <c r="E280" t="inlineStr">
        <is>
          <t>KRISTIANSTAD</t>
        </is>
      </c>
      <c r="G280" t="n">
        <v>2.2</v>
      </c>
      <c r="H280" t="n">
        <v>0</v>
      </c>
      <c r="I280" t="n">
        <v>1</v>
      </c>
      <c r="J280" t="n">
        <v>0</v>
      </c>
      <c r="K280" t="n">
        <v>0</v>
      </c>
      <c r="L280" t="n">
        <v>0</v>
      </c>
      <c r="M280" t="n">
        <v>0</v>
      </c>
      <c r="N280" t="n">
        <v>0</v>
      </c>
      <c r="O280" t="n">
        <v>0</v>
      </c>
      <c r="P280" t="n">
        <v>0</v>
      </c>
      <c r="Q280" t="n">
        <v>1</v>
      </c>
      <c r="R280" s="2" t="inlineStr">
        <is>
          <t>Blåmossa</t>
        </is>
      </c>
      <c r="S280">
        <f>HYPERLINK("https://klasma.github.io/Logging_1290/artfynd/A 46931-2025 artfynd.xlsx", "A 46931-2025")</f>
        <v/>
      </c>
      <c r="T280">
        <f>HYPERLINK("https://klasma.github.io/Logging_1290/kartor/A 46931-2025 karta.png", "A 46931-2025")</f>
        <v/>
      </c>
      <c r="V280">
        <f>HYPERLINK("https://klasma.github.io/Logging_1290/klagomål/A 46931-2025 FSC-klagomål.docx", "A 46931-2025")</f>
        <v/>
      </c>
      <c r="W280">
        <f>HYPERLINK("https://klasma.github.io/Logging_1290/klagomålsmail/A 46931-2025 FSC-klagomål mail.docx", "A 46931-2025")</f>
        <v/>
      </c>
      <c r="X280">
        <f>HYPERLINK("https://klasma.github.io/Logging_1290/tillsyn/A 46931-2025 tillsynsbegäran.docx", "A 46931-2025")</f>
        <v/>
      </c>
      <c r="Y280">
        <f>HYPERLINK("https://klasma.github.io/Logging_1290/tillsynsmail/A 46931-2025 tillsynsbegäran mail.docx", "A 46931-2025")</f>
        <v/>
      </c>
    </row>
    <row r="281" ht="15" customHeight="1">
      <c r="A281" t="inlineStr">
        <is>
          <t>A 10056-2024</t>
        </is>
      </c>
      <c r="B281" s="1" t="n">
        <v>45364</v>
      </c>
      <c r="C281" s="1" t="n">
        <v>45962</v>
      </c>
      <c r="D281" t="inlineStr">
        <is>
          <t>SKÅNE LÄN</t>
        </is>
      </c>
      <c r="E281" t="inlineStr">
        <is>
          <t>OSBY</t>
        </is>
      </c>
      <c r="G281" t="n">
        <v>6</v>
      </c>
      <c r="H281" t="n">
        <v>1</v>
      </c>
      <c r="I281" t="n">
        <v>0</v>
      </c>
      <c r="J281" t="n">
        <v>0</v>
      </c>
      <c r="K281" t="n">
        <v>0</v>
      </c>
      <c r="L281" t="n">
        <v>0</v>
      </c>
      <c r="M281" t="n">
        <v>0</v>
      </c>
      <c r="N281" t="n">
        <v>0</v>
      </c>
      <c r="O281" t="n">
        <v>0</v>
      </c>
      <c r="P281" t="n">
        <v>0</v>
      </c>
      <c r="Q281" t="n">
        <v>1</v>
      </c>
      <c r="R281" s="2" t="inlineStr">
        <is>
          <t>Grönvit nattviol</t>
        </is>
      </c>
      <c r="S281">
        <f>HYPERLINK("https://klasma.github.io/Logging_1273/artfynd/A 10056-2024 artfynd.xlsx", "A 10056-2024")</f>
        <v/>
      </c>
      <c r="T281">
        <f>HYPERLINK("https://klasma.github.io/Logging_1273/kartor/A 10056-2024 karta.png", "A 10056-2024")</f>
        <v/>
      </c>
      <c r="V281">
        <f>HYPERLINK("https://klasma.github.io/Logging_1273/klagomål/A 10056-2024 FSC-klagomål.docx", "A 10056-2024")</f>
        <v/>
      </c>
      <c r="W281">
        <f>HYPERLINK("https://klasma.github.io/Logging_1273/klagomålsmail/A 10056-2024 FSC-klagomål mail.docx", "A 10056-2024")</f>
        <v/>
      </c>
      <c r="X281">
        <f>HYPERLINK("https://klasma.github.io/Logging_1273/tillsyn/A 10056-2024 tillsynsbegäran.docx", "A 10056-2024")</f>
        <v/>
      </c>
      <c r="Y281">
        <f>HYPERLINK("https://klasma.github.io/Logging_1273/tillsynsmail/A 10056-2024 tillsynsbegäran mail.docx", "A 10056-2024")</f>
        <v/>
      </c>
    </row>
    <row r="282" ht="15" customHeight="1">
      <c r="A282" t="inlineStr">
        <is>
          <t>A 57811-2022</t>
        </is>
      </c>
      <c r="B282" s="1" t="n">
        <v>44897</v>
      </c>
      <c r="C282" s="1" t="n">
        <v>45962</v>
      </c>
      <c r="D282" t="inlineStr">
        <is>
          <t>SKÅNE LÄN</t>
        </is>
      </c>
      <c r="E282" t="inlineStr">
        <is>
          <t>TRELLEBORG</t>
        </is>
      </c>
      <c r="G282" t="n">
        <v>2.2</v>
      </c>
      <c r="H282" t="n">
        <v>0</v>
      </c>
      <c r="I282" t="n">
        <v>0</v>
      </c>
      <c r="J282" t="n">
        <v>1</v>
      </c>
      <c r="K282" t="n">
        <v>0</v>
      </c>
      <c r="L282" t="n">
        <v>0</v>
      </c>
      <c r="M282" t="n">
        <v>0</v>
      </c>
      <c r="N282" t="n">
        <v>0</v>
      </c>
      <c r="O282" t="n">
        <v>1</v>
      </c>
      <c r="P282" t="n">
        <v>0</v>
      </c>
      <c r="Q282" t="n">
        <v>1</v>
      </c>
      <c r="R282" s="2" t="inlineStr">
        <is>
          <t>Skogsveronika</t>
        </is>
      </c>
      <c r="S282">
        <f>HYPERLINK("https://klasma.github.io/Logging_1287/artfynd/A 57811-2022 artfynd.xlsx", "A 57811-2022")</f>
        <v/>
      </c>
      <c r="T282">
        <f>HYPERLINK("https://klasma.github.io/Logging_1287/kartor/A 57811-2022 karta.png", "A 57811-2022")</f>
        <v/>
      </c>
      <c r="V282">
        <f>HYPERLINK("https://klasma.github.io/Logging_1287/klagomål/A 57811-2022 FSC-klagomål.docx", "A 57811-2022")</f>
        <v/>
      </c>
      <c r="W282">
        <f>HYPERLINK("https://klasma.github.io/Logging_1287/klagomålsmail/A 57811-2022 FSC-klagomål mail.docx", "A 57811-2022")</f>
        <v/>
      </c>
      <c r="X282">
        <f>HYPERLINK("https://klasma.github.io/Logging_1287/tillsyn/A 57811-2022 tillsynsbegäran.docx", "A 57811-2022")</f>
        <v/>
      </c>
      <c r="Y282">
        <f>HYPERLINK("https://klasma.github.io/Logging_1287/tillsynsmail/A 57811-2022 tillsynsbegäran mail.docx", "A 57811-2022")</f>
        <v/>
      </c>
    </row>
    <row r="283" ht="15" customHeight="1">
      <c r="A283" t="inlineStr">
        <is>
          <t>A 28342-2024</t>
        </is>
      </c>
      <c r="B283" s="1" t="n">
        <v>45477</v>
      </c>
      <c r="C283" s="1" t="n">
        <v>45962</v>
      </c>
      <c r="D283" t="inlineStr">
        <is>
          <t>SKÅNE LÄN</t>
        </is>
      </c>
      <c r="E283" t="inlineStr">
        <is>
          <t>KRISTIANSTAD</t>
        </is>
      </c>
      <c r="G283" t="n">
        <v>3.2</v>
      </c>
      <c r="H283" t="n">
        <v>0</v>
      </c>
      <c r="I283" t="n">
        <v>0</v>
      </c>
      <c r="J283" t="n">
        <v>1</v>
      </c>
      <c r="K283" t="n">
        <v>0</v>
      </c>
      <c r="L283" t="n">
        <v>0</v>
      </c>
      <c r="M283" t="n">
        <v>0</v>
      </c>
      <c r="N283" t="n">
        <v>0</v>
      </c>
      <c r="O283" t="n">
        <v>1</v>
      </c>
      <c r="P283" t="n">
        <v>0</v>
      </c>
      <c r="Q283" t="n">
        <v>1</v>
      </c>
      <c r="R283" s="2" t="inlineStr">
        <is>
          <t>Knölspindel</t>
        </is>
      </c>
      <c r="S283">
        <f>HYPERLINK("https://klasma.github.io/Logging_1290/artfynd/A 28342-2024 artfynd.xlsx", "A 28342-2024")</f>
        <v/>
      </c>
      <c r="T283">
        <f>HYPERLINK("https://klasma.github.io/Logging_1290/kartor/A 28342-2024 karta.png", "A 28342-2024")</f>
        <v/>
      </c>
      <c r="V283">
        <f>HYPERLINK("https://klasma.github.io/Logging_1290/klagomål/A 28342-2024 FSC-klagomål.docx", "A 28342-2024")</f>
        <v/>
      </c>
      <c r="W283">
        <f>HYPERLINK("https://klasma.github.io/Logging_1290/klagomålsmail/A 28342-2024 FSC-klagomål mail.docx", "A 28342-2024")</f>
        <v/>
      </c>
      <c r="X283">
        <f>HYPERLINK("https://klasma.github.io/Logging_1290/tillsyn/A 28342-2024 tillsynsbegäran.docx", "A 28342-2024")</f>
        <v/>
      </c>
      <c r="Y283">
        <f>HYPERLINK("https://klasma.github.io/Logging_1290/tillsynsmail/A 28342-2024 tillsynsbegäran mail.docx", "A 28342-2024")</f>
        <v/>
      </c>
    </row>
    <row r="284" ht="15" customHeight="1">
      <c r="A284" t="inlineStr">
        <is>
          <t>A 50642-2023</t>
        </is>
      </c>
      <c r="B284" s="1" t="n">
        <v>45210</v>
      </c>
      <c r="C284" s="1" t="n">
        <v>45962</v>
      </c>
      <c r="D284" t="inlineStr">
        <is>
          <t>SKÅNE LÄN</t>
        </is>
      </c>
      <c r="E284" t="inlineStr">
        <is>
          <t>ÄNGELHOLM</t>
        </is>
      </c>
      <c r="G284" t="n">
        <v>0.8</v>
      </c>
      <c r="H284" t="n">
        <v>1</v>
      </c>
      <c r="I284" t="n">
        <v>0</v>
      </c>
      <c r="J284" t="n">
        <v>0</v>
      </c>
      <c r="K284" t="n">
        <v>0</v>
      </c>
      <c r="L284" t="n">
        <v>0</v>
      </c>
      <c r="M284" t="n">
        <v>0</v>
      </c>
      <c r="N284" t="n">
        <v>0</v>
      </c>
      <c r="O284" t="n">
        <v>0</v>
      </c>
      <c r="P284" t="n">
        <v>0</v>
      </c>
      <c r="Q284" t="n">
        <v>1</v>
      </c>
      <c r="R284" s="2" t="inlineStr">
        <is>
          <t>Vanlig padda</t>
        </is>
      </c>
      <c r="S284">
        <f>HYPERLINK("https://klasma.github.io/Logging_1292/artfynd/A 50642-2023 artfynd.xlsx", "A 50642-2023")</f>
        <v/>
      </c>
      <c r="T284">
        <f>HYPERLINK("https://klasma.github.io/Logging_1292/kartor/A 50642-2023 karta.png", "A 50642-2023")</f>
        <v/>
      </c>
      <c r="V284">
        <f>HYPERLINK("https://klasma.github.io/Logging_1292/klagomål/A 50642-2023 FSC-klagomål.docx", "A 50642-2023")</f>
        <v/>
      </c>
      <c r="W284">
        <f>HYPERLINK("https://klasma.github.io/Logging_1292/klagomålsmail/A 50642-2023 FSC-klagomål mail.docx", "A 50642-2023")</f>
        <v/>
      </c>
      <c r="X284">
        <f>HYPERLINK("https://klasma.github.io/Logging_1292/tillsyn/A 50642-2023 tillsynsbegäran.docx", "A 50642-2023")</f>
        <v/>
      </c>
      <c r="Y284">
        <f>HYPERLINK("https://klasma.github.io/Logging_1292/tillsynsmail/A 50642-2023 tillsynsbegäran mail.docx", "A 50642-2023")</f>
        <v/>
      </c>
    </row>
    <row r="285" ht="15" customHeight="1">
      <c r="A285" t="inlineStr">
        <is>
          <t>A 50684-2023</t>
        </is>
      </c>
      <c r="B285" s="1" t="n">
        <v>45210</v>
      </c>
      <c r="C285" s="1" t="n">
        <v>45962</v>
      </c>
      <c r="D285" t="inlineStr">
        <is>
          <t>SKÅNE LÄN</t>
        </is>
      </c>
      <c r="E285" t="inlineStr">
        <is>
          <t>ÄNGELHOLM</t>
        </is>
      </c>
      <c r="G285" t="n">
        <v>1.6</v>
      </c>
      <c r="H285" t="n">
        <v>1</v>
      </c>
      <c r="I285" t="n">
        <v>0</v>
      </c>
      <c r="J285" t="n">
        <v>0</v>
      </c>
      <c r="K285" t="n">
        <v>0</v>
      </c>
      <c r="L285" t="n">
        <v>0</v>
      </c>
      <c r="M285" t="n">
        <v>0</v>
      </c>
      <c r="N285" t="n">
        <v>0</v>
      </c>
      <c r="O285" t="n">
        <v>0</v>
      </c>
      <c r="P285" t="n">
        <v>0</v>
      </c>
      <c r="Q285" t="n">
        <v>1</v>
      </c>
      <c r="R285" s="2" t="inlineStr">
        <is>
          <t>Kopparödla</t>
        </is>
      </c>
      <c r="S285">
        <f>HYPERLINK("https://klasma.github.io/Logging_1292/artfynd/A 50684-2023 artfynd.xlsx", "A 50684-2023")</f>
        <v/>
      </c>
      <c r="T285">
        <f>HYPERLINK("https://klasma.github.io/Logging_1292/kartor/A 50684-2023 karta.png", "A 50684-2023")</f>
        <v/>
      </c>
      <c r="V285">
        <f>HYPERLINK("https://klasma.github.io/Logging_1292/klagomål/A 50684-2023 FSC-klagomål.docx", "A 50684-2023")</f>
        <v/>
      </c>
      <c r="W285">
        <f>HYPERLINK("https://klasma.github.io/Logging_1292/klagomålsmail/A 50684-2023 FSC-klagomål mail.docx", "A 50684-2023")</f>
        <v/>
      </c>
      <c r="X285">
        <f>HYPERLINK("https://klasma.github.io/Logging_1292/tillsyn/A 50684-2023 tillsynsbegäran.docx", "A 50684-2023")</f>
        <v/>
      </c>
      <c r="Y285">
        <f>HYPERLINK("https://klasma.github.io/Logging_1292/tillsynsmail/A 50684-2023 tillsynsbegäran mail.docx", "A 50684-2023")</f>
        <v/>
      </c>
    </row>
    <row r="286" ht="15" customHeight="1">
      <c r="A286" t="inlineStr">
        <is>
          <t>A 24158-2022</t>
        </is>
      </c>
      <c r="B286" s="1" t="n">
        <v>44725</v>
      </c>
      <c r="C286" s="1" t="n">
        <v>45962</v>
      </c>
      <c r="D286" t="inlineStr">
        <is>
          <t>SKÅNE LÄN</t>
        </is>
      </c>
      <c r="E286" t="inlineStr">
        <is>
          <t>HÖRBY</t>
        </is>
      </c>
      <c r="G286" t="n">
        <v>3.1</v>
      </c>
      <c r="H286" t="n">
        <v>0</v>
      </c>
      <c r="I286" t="n">
        <v>0</v>
      </c>
      <c r="J286" t="n">
        <v>0</v>
      </c>
      <c r="K286" t="n">
        <v>1</v>
      </c>
      <c r="L286" t="n">
        <v>0</v>
      </c>
      <c r="M286" t="n">
        <v>0</v>
      </c>
      <c r="N286" t="n">
        <v>0</v>
      </c>
      <c r="O286" t="n">
        <v>1</v>
      </c>
      <c r="P286" t="n">
        <v>1</v>
      </c>
      <c r="Q286" t="n">
        <v>1</v>
      </c>
      <c r="R286" s="2" t="inlineStr">
        <is>
          <t>Slåttergubbe</t>
        </is>
      </c>
      <c r="S286">
        <f>HYPERLINK("https://klasma.github.io/Logging_1266/artfynd/A 24158-2022 artfynd.xlsx", "A 24158-2022")</f>
        <v/>
      </c>
      <c r="T286">
        <f>HYPERLINK("https://klasma.github.io/Logging_1266/kartor/A 24158-2022 karta.png", "A 24158-2022")</f>
        <v/>
      </c>
      <c r="V286">
        <f>HYPERLINK("https://klasma.github.io/Logging_1266/klagomål/A 24158-2022 FSC-klagomål.docx", "A 24158-2022")</f>
        <v/>
      </c>
      <c r="W286">
        <f>HYPERLINK("https://klasma.github.io/Logging_1266/klagomålsmail/A 24158-2022 FSC-klagomål mail.docx", "A 24158-2022")</f>
        <v/>
      </c>
      <c r="X286">
        <f>HYPERLINK("https://klasma.github.io/Logging_1266/tillsyn/A 24158-2022 tillsynsbegäran.docx", "A 24158-2022")</f>
        <v/>
      </c>
      <c r="Y286">
        <f>HYPERLINK("https://klasma.github.io/Logging_1266/tillsynsmail/A 24158-2022 tillsynsbegäran mail.docx", "A 24158-2022")</f>
        <v/>
      </c>
    </row>
    <row r="287" ht="15" customHeight="1">
      <c r="A287" t="inlineStr">
        <is>
          <t>A 32367-2024</t>
        </is>
      </c>
      <c r="B287" s="1" t="n">
        <v>45512.58193287037</v>
      </c>
      <c r="C287" s="1" t="n">
        <v>45962</v>
      </c>
      <c r="D287" t="inlineStr">
        <is>
          <t>SKÅNE LÄN</t>
        </is>
      </c>
      <c r="E287" t="inlineStr">
        <is>
          <t>ÖSTRA GÖINGE</t>
        </is>
      </c>
      <c r="G287" t="n">
        <v>5.4</v>
      </c>
      <c r="H287" t="n">
        <v>0</v>
      </c>
      <c r="I287" t="n">
        <v>1</v>
      </c>
      <c r="J287" t="n">
        <v>0</v>
      </c>
      <c r="K287" t="n">
        <v>0</v>
      </c>
      <c r="L287" t="n">
        <v>0</v>
      </c>
      <c r="M287" t="n">
        <v>0</v>
      </c>
      <c r="N287" t="n">
        <v>0</v>
      </c>
      <c r="O287" t="n">
        <v>0</v>
      </c>
      <c r="P287" t="n">
        <v>0</v>
      </c>
      <c r="Q287" t="n">
        <v>1</v>
      </c>
      <c r="R287" s="2" t="inlineStr">
        <is>
          <t>Blomkålssvamp</t>
        </is>
      </c>
      <c r="S287">
        <f>HYPERLINK("https://klasma.github.io/Logging_1256/artfynd/A 32367-2024 artfynd.xlsx", "A 32367-2024")</f>
        <v/>
      </c>
      <c r="T287">
        <f>HYPERLINK("https://klasma.github.io/Logging_1256/kartor/A 32367-2024 karta.png", "A 32367-2024")</f>
        <v/>
      </c>
      <c r="V287">
        <f>HYPERLINK("https://klasma.github.io/Logging_1256/klagomål/A 32367-2024 FSC-klagomål.docx", "A 32367-2024")</f>
        <v/>
      </c>
      <c r="W287">
        <f>HYPERLINK("https://klasma.github.io/Logging_1256/klagomålsmail/A 32367-2024 FSC-klagomål mail.docx", "A 32367-2024")</f>
        <v/>
      </c>
      <c r="X287">
        <f>HYPERLINK("https://klasma.github.io/Logging_1256/tillsyn/A 32367-2024 tillsynsbegäran.docx", "A 32367-2024")</f>
        <v/>
      </c>
      <c r="Y287">
        <f>HYPERLINK("https://klasma.github.io/Logging_1256/tillsynsmail/A 32367-2024 tillsynsbegäran mail.docx", "A 32367-2024")</f>
        <v/>
      </c>
    </row>
    <row r="288" ht="15" customHeight="1">
      <c r="A288" t="inlineStr">
        <is>
          <t>A 50118-2022</t>
        </is>
      </c>
      <c r="B288" s="1" t="n">
        <v>44860</v>
      </c>
      <c r="C288" s="1" t="n">
        <v>45962</v>
      </c>
      <c r="D288" t="inlineStr">
        <is>
          <t>SKÅNE LÄN</t>
        </is>
      </c>
      <c r="E288" t="inlineStr">
        <is>
          <t>BROMÖLLA</t>
        </is>
      </c>
      <c r="G288" t="n">
        <v>12.8</v>
      </c>
      <c r="H288" t="n">
        <v>0</v>
      </c>
      <c r="I288" t="n">
        <v>1</v>
      </c>
      <c r="J288" t="n">
        <v>0</v>
      </c>
      <c r="K288" t="n">
        <v>0</v>
      </c>
      <c r="L288" t="n">
        <v>0</v>
      </c>
      <c r="M288" t="n">
        <v>0</v>
      </c>
      <c r="N288" t="n">
        <v>0</v>
      </c>
      <c r="O288" t="n">
        <v>0</v>
      </c>
      <c r="P288" t="n">
        <v>0</v>
      </c>
      <c r="Q288" t="n">
        <v>1</v>
      </c>
      <c r="R288" s="2" t="inlineStr">
        <is>
          <t>Myskmadra</t>
        </is>
      </c>
      <c r="S288">
        <f>HYPERLINK("https://klasma.github.io/Logging_1272/artfynd/A 50118-2022 artfynd.xlsx", "A 50118-2022")</f>
        <v/>
      </c>
      <c r="T288">
        <f>HYPERLINK("https://klasma.github.io/Logging_1272/kartor/A 50118-2022 karta.png", "A 50118-2022")</f>
        <v/>
      </c>
      <c r="V288">
        <f>HYPERLINK("https://klasma.github.io/Logging_1272/klagomål/A 50118-2022 FSC-klagomål.docx", "A 50118-2022")</f>
        <v/>
      </c>
      <c r="W288">
        <f>HYPERLINK("https://klasma.github.io/Logging_1272/klagomålsmail/A 50118-2022 FSC-klagomål mail.docx", "A 50118-2022")</f>
        <v/>
      </c>
      <c r="X288">
        <f>HYPERLINK("https://klasma.github.io/Logging_1272/tillsyn/A 50118-2022 tillsynsbegäran.docx", "A 50118-2022")</f>
        <v/>
      </c>
      <c r="Y288">
        <f>HYPERLINK("https://klasma.github.io/Logging_1272/tillsynsmail/A 50118-2022 tillsynsbegäran mail.docx", "A 50118-2022")</f>
        <v/>
      </c>
    </row>
    <row r="289" ht="15" customHeight="1">
      <c r="A289" t="inlineStr">
        <is>
          <t>A 32842-2024</t>
        </is>
      </c>
      <c r="B289" s="1" t="n">
        <v>45516.61791666667</v>
      </c>
      <c r="C289" s="1" t="n">
        <v>45962</v>
      </c>
      <c r="D289" t="inlineStr">
        <is>
          <t>SKÅNE LÄN</t>
        </is>
      </c>
      <c r="E289" t="inlineStr">
        <is>
          <t>PERSTORP</t>
        </is>
      </c>
      <c r="G289" t="n">
        <v>2.5</v>
      </c>
      <c r="H289" t="n">
        <v>0</v>
      </c>
      <c r="I289" t="n">
        <v>1</v>
      </c>
      <c r="J289" t="n">
        <v>0</v>
      </c>
      <c r="K289" t="n">
        <v>0</v>
      </c>
      <c r="L289" t="n">
        <v>0</v>
      </c>
      <c r="M289" t="n">
        <v>0</v>
      </c>
      <c r="N289" t="n">
        <v>0</v>
      </c>
      <c r="O289" t="n">
        <v>0</v>
      </c>
      <c r="P289" t="n">
        <v>0</v>
      </c>
      <c r="Q289" t="n">
        <v>1</v>
      </c>
      <c r="R289" s="2" t="inlineStr">
        <is>
          <t>Blåmossa</t>
        </is>
      </c>
      <c r="S289">
        <f>HYPERLINK("https://klasma.github.io/Logging_1275/artfynd/A 32842-2024 artfynd.xlsx", "A 32842-2024")</f>
        <v/>
      </c>
      <c r="T289">
        <f>HYPERLINK("https://klasma.github.io/Logging_1275/kartor/A 32842-2024 karta.png", "A 32842-2024")</f>
        <v/>
      </c>
      <c r="V289">
        <f>HYPERLINK("https://klasma.github.io/Logging_1275/klagomål/A 32842-2024 FSC-klagomål.docx", "A 32842-2024")</f>
        <v/>
      </c>
      <c r="W289">
        <f>HYPERLINK("https://klasma.github.io/Logging_1275/klagomålsmail/A 32842-2024 FSC-klagomål mail.docx", "A 32842-2024")</f>
        <v/>
      </c>
      <c r="X289">
        <f>HYPERLINK("https://klasma.github.io/Logging_1275/tillsyn/A 32842-2024 tillsynsbegäran.docx", "A 32842-2024")</f>
        <v/>
      </c>
      <c r="Y289">
        <f>HYPERLINK("https://klasma.github.io/Logging_1275/tillsynsmail/A 32842-2024 tillsynsbegäran mail.docx", "A 32842-2024")</f>
        <v/>
      </c>
    </row>
    <row r="290" ht="15" customHeight="1">
      <c r="A290" t="inlineStr">
        <is>
          <t>A 31678-2025</t>
        </is>
      </c>
      <c r="B290" s="1" t="n">
        <v>45834</v>
      </c>
      <c r="C290" s="1" t="n">
        <v>45962</v>
      </c>
      <c r="D290" t="inlineStr">
        <is>
          <t>SKÅNE LÄN</t>
        </is>
      </c>
      <c r="E290" t="inlineStr">
        <is>
          <t>SJÖBO</t>
        </is>
      </c>
      <c r="G290" t="n">
        <v>3.5</v>
      </c>
      <c r="H290" t="n">
        <v>1</v>
      </c>
      <c r="I290" t="n">
        <v>0</v>
      </c>
      <c r="J290" t="n">
        <v>0</v>
      </c>
      <c r="K290" t="n">
        <v>1</v>
      </c>
      <c r="L290" t="n">
        <v>0</v>
      </c>
      <c r="M290" t="n">
        <v>0</v>
      </c>
      <c r="N290" t="n">
        <v>0</v>
      </c>
      <c r="O290" t="n">
        <v>1</v>
      </c>
      <c r="P290" t="n">
        <v>1</v>
      </c>
      <c r="Q290" t="n">
        <v>1</v>
      </c>
      <c r="R290" s="2" t="inlineStr">
        <is>
          <t>Hedblomster</t>
        </is>
      </c>
      <c r="S290">
        <f>HYPERLINK("https://klasma.github.io/Logging_1265/artfynd/A 31678-2025 artfynd.xlsx", "A 31678-2025")</f>
        <v/>
      </c>
      <c r="T290">
        <f>HYPERLINK("https://klasma.github.io/Logging_1265/kartor/A 31678-2025 karta.png", "A 31678-2025")</f>
        <v/>
      </c>
      <c r="V290">
        <f>HYPERLINK("https://klasma.github.io/Logging_1265/klagomål/A 31678-2025 FSC-klagomål.docx", "A 31678-2025")</f>
        <v/>
      </c>
      <c r="W290">
        <f>HYPERLINK("https://klasma.github.io/Logging_1265/klagomålsmail/A 31678-2025 FSC-klagomål mail.docx", "A 31678-2025")</f>
        <v/>
      </c>
      <c r="X290">
        <f>HYPERLINK("https://klasma.github.io/Logging_1265/tillsyn/A 31678-2025 tillsynsbegäran.docx", "A 31678-2025")</f>
        <v/>
      </c>
      <c r="Y290">
        <f>HYPERLINK("https://klasma.github.io/Logging_1265/tillsynsmail/A 31678-2025 tillsynsbegäran mail.docx", "A 31678-2025")</f>
        <v/>
      </c>
    </row>
    <row r="291" ht="15" customHeight="1">
      <c r="A291" t="inlineStr">
        <is>
          <t>A 53519-2023</t>
        </is>
      </c>
      <c r="B291" s="1" t="n">
        <v>45230</v>
      </c>
      <c r="C291" s="1" t="n">
        <v>45962</v>
      </c>
      <c r="D291" t="inlineStr">
        <is>
          <t>SKÅNE LÄN</t>
        </is>
      </c>
      <c r="E291" t="inlineStr">
        <is>
          <t>KÄVLINGE</t>
        </is>
      </c>
      <c r="G291" t="n">
        <v>1</v>
      </c>
      <c r="H291" t="n">
        <v>0</v>
      </c>
      <c r="I291" t="n">
        <v>0</v>
      </c>
      <c r="J291" t="n">
        <v>0</v>
      </c>
      <c r="K291" t="n">
        <v>0</v>
      </c>
      <c r="L291" t="n">
        <v>1</v>
      </c>
      <c r="M291" t="n">
        <v>0</v>
      </c>
      <c r="N291" t="n">
        <v>0</v>
      </c>
      <c r="O291" t="n">
        <v>1</v>
      </c>
      <c r="P291" t="n">
        <v>1</v>
      </c>
      <c r="Q291" t="n">
        <v>1</v>
      </c>
      <c r="R291" s="2" t="inlineStr">
        <is>
          <t>Bergbjörnbär</t>
        </is>
      </c>
      <c r="S291">
        <f>HYPERLINK("https://klasma.github.io/Logging_1261/artfynd/A 53519-2023 artfynd.xlsx", "A 53519-2023")</f>
        <v/>
      </c>
      <c r="T291">
        <f>HYPERLINK("https://klasma.github.io/Logging_1261/kartor/A 53519-2023 karta.png", "A 53519-2023")</f>
        <v/>
      </c>
      <c r="V291">
        <f>HYPERLINK("https://klasma.github.io/Logging_1261/klagomål/A 53519-2023 FSC-klagomål.docx", "A 53519-2023")</f>
        <v/>
      </c>
      <c r="W291">
        <f>HYPERLINK("https://klasma.github.io/Logging_1261/klagomålsmail/A 53519-2023 FSC-klagomål mail.docx", "A 53519-2023")</f>
        <v/>
      </c>
      <c r="X291">
        <f>HYPERLINK("https://klasma.github.io/Logging_1261/tillsyn/A 53519-2023 tillsynsbegäran.docx", "A 53519-2023")</f>
        <v/>
      </c>
      <c r="Y291">
        <f>HYPERLINK("https://klasma.github.io/Logging_1261/tillsynsmail/A 53519-2023 tillsynsbegäran mail.docx", "A 53519-2023")</f>
        <v/>
      </c>
    </row>
    <row r="292" ht="15" customHeight="1">
      <c r="A292" t="inlineStr">
        <is>
          <t>A 3954-2024</t>
        </is>
      </c>
      <c r="B292" s="1" t="n">
        <v>45322</v>
      </c>
      <c r="C292" s="1" t="n">
        <v>45962</v>
      </c>
      <c r="D292" t="inlineStr">
        <is>
          <t>SKÅNE LÄN</t>
        </is>
      </c>
      <c r="E292" t="inlineStr">
        <is>
          <t>KRISTIANSTAD</t>
        </is>
      </c>
      <c r="G292" t="n">
        <v>1.2</v>
      </c>
      <c r="H292" t="n">
        <v>0</v>
      </c>
      <c r="I292" t="n">
        <v>0</v>
      </c>
      <c r="J292" t="n">
        <v>0</v>
      </c>
      <c r="K292" t="n">
        <v>1</v>
      </c>
      <c r="L292" t="n">
        <v>0</v>
      </c>
      <c r="M292" t="n">
        <v>0</v>
      </c>
      <c r="N292" t="n">
        <v>0</v>
      </c>
      <c r="O292" t="n">
        <v>1</v>
      </c>
      <c r="P292" t="n">
        <v>1</v>
      </c>
      <c r="Q292" t="n">
        <v>1</v>
      </c>
      <c r="R292" s="2" t="inlineStr">
        <is>
          <t>Slåttergubbe</t>
        </is>
      </c>
      <c r="S292">
        <f>HYPERLINK("https://klasma.github.io/Logging_1290/artfynd/A 3954-2024 artfynd.xlsx", "A 3954-2024")</f>
        <v/>
      </c>
      <c r="T292">
        <f>HYPERLINK("https://klasma.github.io/Logging_1290/kartor/A 3954-2024 karta.png", "A 3954-2024")</f>
        <v/>
      </c>
      <c r="V292">
        <f>HYPERLINK("https://klasma.github.io/Logging_1290/klagomål/A 3954-2024 FSC-klagomål.docx", "A 3954-2024")</f>
        <v/>
      </c>
      <c r="W292">
        <f>HYPERLINK("https://klasma.github.io/Logging_1290/klagomålsmail/A 3954-2024 FSC-klagomål mail.docx", "A 3954-2024")</f>
        <v/>
      </c>
      <c r="X292">
        <f>HYPERLINK("https://klasma.github.io/Logging_1290/tillsyn/A 3954-2024 tillsynsbegäran.docx", "A 3954-2024")</f>
        <v/>
      </c>
      <c r="Y292">
        <f>HYPERLINK("https://klasma.github.io/Logging_1290/tillsynsmail/A 3954-2024 tillsynsbegäran mail.docx", "A 3954-2024")</f>
        <v/>
      </c>
    </row>
    <row r="293" ht="15" customHeight="1">
      <c r="A293" t="inlineStr">
        <is>
          <t>A 32705-2025</t>
        </is>
      </c>
      <c r="B293" s="1" t="n">
        <v>45839</v>
      </c>
      <c r="C293" s="1" t="n">
        <v>45962</v>
      </c>
      <c r="D293" t="inlineStr">
        <is>
          <t>SKÅNE LÄN</t>
        </is>
      </c>
      <c r="E293" t="inlineStr">
        <is>
          <t>OSBY</t>
        </is>
      </c>
      <c r="G293" t="n">
        <v>0.6</v>
      </c>
      <c r="H293" t="n">
        <v>1</v>
      </c>
      <c r="I293" t="n">
        <v>0</v>
      </c>
      <c r="J293" t="n">
        <v>0</v>
      </c>
      <c r="K293" t="n">
        <v>0</v>
      </c>
      <c r="L293" t="n">
        <v>0</v>
      </c>
      <c r="M293" t="n">
        <v>0</v>
      </c>
      <c r="N293" t="n">
        <v>0</v>
      </c>
      <c r="O293" t="n">
        <v>0</v>
      </c>
      <c r="P293" t="n">
        <v>0</v>
      </c>
      <c r="Q293" t="n">
        <v>1</v>
      </c>
      <c r="R293" s="2" t="inlineStr">
        <is>
          <t>Kungsfågel</t>
        </is>
      </c>
      <c r="S293">
        <f>HYPERLINK("https://klasma.github.io/Logging_1273/artfynd/A 32705-2025 artfynd.xlsx", "A 32705-2025")</f>
        <v/>
      </c>
      <c r="T293">
        <f>HYPERLINK("https://klasma.github.io/Logging_1273/kartor/A 32705-2025 karta.png", "A 32705-2025")</f>
        <v/>
      </c>
      <c r="V293">
        <f>HYPERLINK("https://klasma.github.io/Logging_1273/klagomål/A 32705-2025 FSC-klagomål.docx", "A 32705-2025")</f>
        <v/>
      </c>
      <c r="W293">
        <f>HYPERLINK("https://klasma.github.io/Logging_1273/klagomålsmail/A 32705-2025 FSC-klagomål mail.docx", "A 32705-2025")</f>
        <v/>
      </c>
      <c r="X293">
        <f>HYPERLINK("https://klasma.github.io/Logging_1273/tillsyn/A 32705-2025 tillsynsbegäran.docx", "A 32705-2025")</f>
        <v/>
      </c>
      <c r="Y293">
        <f>HYPERLINK("https://klasma.github.io/Logging_1273/tillsynsmail/A 32705-2025 tillsynsbegäran mail.docx", "A 32705-2025")</f>
        <v/>
      </c>
      <c r="Z293">
        <f>HYPERLINK("https://klasma.github.io/Logging_1273/fåglar/A 32705-2025 prioriterade fågelarter.docx", "A 32705-2025")</f>
        <v/>
      </c>
    </row>
    <row r="294" ht="15" customHeight="1">
      <c r="A294" t="inlineStr">
        <is>
          <t>A 31620-2024</t>
        </is>
      </c>
      <c r="B294" s="1" t="n">
        <v>45506</v>
      </c>
      <c r="C294" s="1" t="n">
        <v>45962</v>
      </c>
      <c r="D294" t="inlineStr">
        <is>
          <t>SKÅNE LÄN</t>
        </is>
      </c>
      <c r="E294" t="inlineStr">
        <is>
          <t>KRISTIANSTAD</t>
        </is>
      </c>
      <c r="G294" t="n">
        <v>0.5</v>
      </c>
      <c r="H294" t="n">
        <v>1</v>
      </c>
      <c r="I294" t="n">
        <v>0</v>
      </c>
      <c r="J294" t="n">
        <v>0</v>
      </c>
      <c r="K294" t="n">
        <v>1</v>
      </c>
      <c r="L294" t="n">
        <v>0</v>
      </c>
      <c r="M294" t="n">
        <v>0</v>
      </c>
      <c r="N294" t="n">
        <v>0</v>
      </c>
      <c r="O294" t="n">
        <v>1</v>
      </c>
      <c r="P294" t="n">
        <v>1</v>
      </c>
      <c r="Q294" t="n">
        <v>1</v>
      </c>
      <c r="R294" s="2" t="inlineStr">
        <is>
          <t>Backsippa</t>
        </is>
      </c>
      <c r="S294">
        <f>HYPERLINK("https://klasma.github.io/Logging_1290/artfynd/A 31620-2024 artfynd.xlsx", "A 31620-2024")</f>
        <v/>
      </c>
      <c r="T294">
        <f>HYPERLINK("https://klasma.github.io/Logging_1290/kartor/A 31620-2024 karta.png", "A 31620-2024")</f>
        <v/>
      </c>
      <c r="V294">
        <f>HYPERLINK("https://klasma.github.io/Logging_1290/klagomål/A 31620-2024 FSC-klagomål.docx", "A 31620-2024")</f>
        <v/>
      </c>
      <c r="W294">
        <f>HYPERLINK("https://klasma.github.io/Logging_1290/klagomålsmail/A 31620-2024 FSC-klagomål mail.docx", "A 31620-2024")</f>
        <v/>
      </c>
      <c r="X294">
        <f>HYPERLINK("https://klasma.github.io/Logging_1290/tillsyn/A 31620-2024 tillsynsbegäran.docx", "A 31620-2024")</f>
        <v/>
      </c>
      <c r="Y294">
        <f>HYPERLINK("https://klasma.github.io/Logging_1290/tillsynsmail/A 31620-2024 tillsynsbegäran mail.docx", "A 31620-2024")</f>
        <v/>
      </c>
    </row>
    <row r="295" ht="15" customHeight="1">
      <c r="A295" t="inlineStr">
        <is>
          <t>A 25762-2024</t>
        </is>
      </c>
      <c r="B295" s="1" t="n">
        <v>45465.76983796297</v>
      </c>
      <c r="C295" s="1" t="n">
        <v>45962</v>
      </c>
      <c r="D295" t="inlineStr">
        <is>
          <t>SKÅNE LÄN</t>
        </is>
      </c>
      <c r="E295" t="inlineStr">
        <is>
          <t>KRISTIANSTAD</t>
        </is>
      </c>
      <c r="G295" t="n">
        <v>0.6</v>
      </c>
      <c r="H295" t="n">
        <v>0</v>
      </c>
      <c r="I295" t="n">
        <v>1</v>
      </c>
      <c r="J295" t="n">
        <v>0</v>
      </c>
      <c r="K295" t="n">
        <v>0</v>
      </c>
      <c r="L295" t="n">
        <v>0</v>
      </c>
      <c r="M295" t="n">
        <v>0</v>
      </c>
      <c r="N295" t="n">
        <v>0</v>
      </c>
      <c r="O295" t="n">
        <v>0</v>
      </c>
      <c r="P295" t="n">
        <v>0</v>
      </c>
      <c r="Q295" t="n">
        <v>1</v>
      </c>
      <c r="R295" s="2" t="inlineStr">
        <is>
          <t>Blomkålssvamp</t>
        </is>
      </c>
      <c r="S295">
        <f>HYPERLINK("https://klasma.github.io/Logging_1290/artfynd/A 25762-2024 artfynd.xlsx", "A 25762-2024")</f>
        <v/>
      </c>
      <c r="T295">
        <f>HYPERLINK("https://klasma.github.io/Logging_1290/kartor/A 25762-2024 karta.png", "A 25762-2024")</f>
        <v/>
      </c>
      <c r="V295">
        <f>HYPERLINK("https://klasma.github.io/Logging_1290/klagomål/A 25762-2024 FSC-klagomål.docx", "A 25762-2024")</f>
        <v/>
      </c>
      <c r="W295">
        <f>HYPERLINK("https://klasma.github.io/Logging_1290/klagomålsmail/A 25762-2024 FSC-klagomål mail.docx", "A 25762-2024")</f>
        <v/>
      </c>
      <c r="X295">
        <f>HYPERLINK("https://klasma.github.io/Logging_1290/tillsyn/A 25762-2024 tillsynsbegäran.docx", "A 25762-2024")</f>
        <v/>
      </c>
      <c r="Y295">
        <f>HYPERLINK("https://klasma.github.io/Logging_1290/tillsynsmail/A 25762-2024 tillsynsbegäran mail.docx", "A 25762-2024")</f>
        <v/>
      </c>
    </row>
    <row r="296" ht="15" customHeight="1">
      <c r="A296" t="inlineStr">
        <is>
          <t>A 1782-2024</t>
        </is>
      </c>
      <c r="B296" s="1" t="n">
        <v>45307</v>
      </c>
      <c r="C296" s="1" t="n">
        <v>45962</v>
      </c>
      <c r="D296" t="inlineStr">
        <is>
          <t>SKÅNE LÄN</t>
        </is>
      </c>
      <c r="E296" t="inlineStr">
        <is>
          <t>BÅSTAD</t>
        </is>
      </c>
      <c r="G296" t="n">
        <v>2.7</v>
      </c>
      <c r="H296" t="n">
        <v>1</v>
      </c>
      <c r="I296" t="n">
        <v>0</v>
      </c>
      <c r="J296" t="n">
        <v>0</v>
      </c>
      <c r="K296" t="n">
        <v>0</v>
      </c>
      <c r="L296" t="n">
        <v>0</v>
      </c>
      <c r="M296" t="n">
        <v>0</v>
      </c>
      <c r="N296" t="n">
        <v>0</v>
      </c>
      <c r="O296" t="n">
        <v>0</v>
      </c>
      <c r="P296" t="n">
        <v>0</v>
      </c>
      <c r="Q296" t="n">
        <v>1</v>
      </c>
      <c r="R296" s="2" t="inlineStr">
        <is>
          <t>Grönvit nattviol</t>
        </is>
      </c>
      <c r="S296">
        <f>HYPERLINK("https://klasma.github.io/Logging_1278/artfynd/A 1782-2024 artfynd.xlsx", "A 1782-2024")</f>
        <v/>
      </c>
      <c r="T296">
        <f>HYPERLINK("https://klasma.github.io/Logging_1278/kartor/A 1782-2024 karta.png", "A 1782-2024")</f>
        <v/>
      </c>
      <c r="V296">
        <f>HYPERLINK("https://klasma.github.io/Logging_1278/klagomål/A 1782-2024 FSC-klagomål.docx", "A 1782-2024")</f>
        <v/>
      </c>
      <c r="W296">
        <f>HYPERLINK("https://klasma.github.io/Logging_1278/klagomålsmail/A 1782-2024 FSC-klagomål mail.docx", "A 1782-2024")</f>
        <v/>
      </c>
      <c r="X296">
        <f>HYPERLINK("https://klasma.github.io/Logging_1278/tillsyn/A 1782-2024 tillsynsbegäran.docx", "A 1782-2024")</f>
        <v/>
      </c>
      <c r="Y296">
        <f>HYPERLINK("https://klasma.github.io/Logging_1278/tillsynsmail/A 1782-2024 tillsynsbegäran mail.docx", "A 1782-2024")</f>
        <v/>
      </c>
    </row>
    <row r="297" ht="15" customHeight="1">
      <c r="A297" t="inlineStr">
        <is>
          <t>A 38965-2025</t>
        </is>
      </c>
      <c r="B297" s="1" t="n">
        <v>45887.69434027778</v>
      </c>
      <c r="C297" s="1" t="n">
        <v>45962</v>
      </c>
      <c r="D297" t="inlineStr">
        <is>
          <t>SKÅNE LÄN</t>
        </is>
      </c>
      <c r="E297" t="inlineStr">
        <is>
          <t>ÖSTRA GÖINGE</t>
        </is>
      </c>
      <c r="G297" t="n">
        <v>2.5</v>
      </c>
      <c r="H297" t="n">
        <v>0</v>
      </c>
      <c r="I297" t="n">
        <v>0</v>
      </c>
      <c r="J297" t="n">
        <v>1</v>
      </c>
      <c r="K297" t="n">
        <v>0</v>
      </c>
      <c r="L297" t="n">
        <v>0</v>
      </c>
      <c r="M297" t="n">
        <v>0</v>
      </c>
      <c r="N297" t="n">
        <v>0</v>
      </c>
      <c r="O297" t="n">
        <v>1</v>
      </c>
      <c r="P297" t="n">
        <v>0</v>
      </c>
      <c r="Q297" t="n">
        <v>1</v>
      </c>
      <c r="R297" s="2" t="inlineStr">
        <is>
          <t>Gullklöver</t>
        </is>
      </c>
      <c r="S297">
        <f>HYPERLINK("https://klasma.github.io/Logging_1256/artfynd/A 38965-2025 artfynd.xlsx", "A 38965-2025")</f>
        <v/>
      </c>
      <c r="T297">
        <f>HYPERLINK("https://klasma.github.io/Logging_1256/kartor/A 38965-2025 karta.png", "A 38965-2025")</f>
        <v/>
      </c>
      <c r="V297">
        <f>HYPERLINK("https://klasma.github.io/Logging_1256/klagomål/A 38965-2025 FSC-klagomål.docx", "A 38965-2025")</f>
        <v/>
      </c>
      <c r="W297">
        <f>HYPERLINK("https://klasma.github.io/Logging_1256/klagomålsmail/A 38965-2025 FSC-klagomål mail.docx", "A 38965-2025")</f>
        <v/>
      </c>
      <c r="X297">
        <f>HYPERLINK("https://klasma.github.io/Logging_1256/tillsyn/A 38965-2025 tillsynsbegäran.docx", "A 38965-2025")</f>
        <v/>
      </c>
      <c r="Y297">
        <f>HYPERLINK("https://klasma.github.io/Logging_1256/tillsynsmail/A 38965-2025 tillsynsbegäran mail.docx", "A 38965-2025")</f>
        <v/>
      </c>
    </row>
    <row r="298" ht="15" customHeight="1">
      <c r="A298" t="inlineStr">
        <is>
          <t>A 15456-2024</t>
        </is>
      </c>
      <c r="B298" s="1" t="n">
        <v>45401</v>
      </c>
      <c r="C298" s="1" t="n">
        <v>45962</v>
      </c>
      <c r="D298" t="inlineStr">
        <is>
          <t>SKÅNE LÄN</t>
        </is>
      </c>
      <c r="E298" t="inlineStr">
        <is>
          <t>SVALÖV</t>
        </is>
      </c>
      <c r="G298" t="n">
        <v>2.5</v>
      </c>
      <c r="H298" t="n">
        <v>0</v>
      </c>
      <c r="I298" t="n">
        <v>0</v>
      </c>
      <c r="J298" t="n">
        <v>0</v>
      </c>
      <c r="K298" t="n">
        <v>1</v>
      </c>
      <c r="L298" t="n">
        <v>0</v>
      </c>
      <c r="M298" t="n">
        <v>0</v>
      </c>
      <c r="N298" t="n">
        <v>0</v>
      </c>
      <c r="O298" t="n">
        <v>1</v>
      </c>
      <c r="P298" t="n">
        <v>1</v>
      </c>
      <c r="Q298" t="n">
        <v>1</v>
      </c>
      <c r="R298" s="2" t="inlineStr">
        <is>
          <t>Lundticka</t>
        </is>
      </c>
      <c r="S298">
        <f>HYPERLINK("https://klasma.github.io/Logging_1214/artfynd/A 15456-2024 artfynd.xlsx", "A 15456-2024")</f>
        <v/>
      </c>
      <c r="T298">
        <f>HYPERLINK("https://klasma.github.io/Logging_1214/kartor/A 15456-2024 karta.png", "A 15456-2024")</f>
        <v/>
      </c>
      <c r="V298">
        <f>HYPERLINK("https://klasma.github.io/Logging_1214/klagomål/A 15456-2024 FSC-klagomål.docx", "A 15456-2024")</f>
        <v/>
      </c>
      <c r="W298">
        <f>HYPERLINK("https://klasma.github.io/Logging_1214/klagomålsmail/A 15456-2024 FSC-klagomål mail.docx", "A 15456-2024")</f>
        <v/>
      </c>
      <c r="X298">
        <f>HYPERLINK("https://klasma.github.io/Logging_1214/tillsyn/A 15456-2024 tillsynsbegäran.docx", "A 15456-2024")</f>
        <v/>
      </c>
      <c r="Y298">
        <f>HYPERLINK("https://klasma.github.io/Logging_1214/tillsynsmail/A 15456-2024 tillsynsbegäran mail.docx", "A 15456-2024")</f>
        <v/>
      </c>
    </row>
    <row r="299" ht="15" customHeight="1">
      <c r="A299" t="inlineStr">
        <is>
          <t>A 40178-2024</t>
        </is>
      </c>
      <c r="B299" s="1" t="n">
        <v>45554.55802083333</v>
      </c>
      <c r="C299" s="1" t="n">
        <v>45962</v>
      </c>
      <c r="D299" t="inlineStr">
        <is>
          <t>SKÅNE LÄN</t>
        </is>
      </c>
      <c r="E299" t="inlineStr">
        <is>
          <t>ÖSTRA GÖINGE</t>
        </is>
      </c>
      <c r="G299" t="n">
        <v>0.6</v>
      </c>
      <c r="H299" t="n">
        <v>0</v>
      </c>
      <c r="I299" t="n">
        <v>0</v>
      </c>
      <c r="J299" t="n">
        <v>1</v>
      </c>
      <c r="K299" t="n">
        <v>0</v>
      </c>
      <c r="L299" t="n">
        <v>0</v>
      </c>
      <c r="M299" t="n">
        <v>0</v>
      </c>
      <c r="N299" t="n">
        <v>0</v>
      </c>
      <c r="O299" t="n">
        <v>1</v>
      </c>
      <c r="P299" t="n">
        <v>0</v>
      </c>
      <c r="Q299" t="n">
        <v>1</v>
      </c>
      <c r="R299" s="2" t="inlineStr">
        <is>
          <t>Svinrot</t>
        </is>
      </c>
      <c r="S299">
        <f>HYPERLINK("https://klasma.github.io/Logging_1256/artfynd/A 40178-2024 artfynd.xlsx", "A 40178-2024")</f>
        <v/>
      </c>
      <c r="T299">
        <f>HYPERLINK("https://klasma.github.io/Logging_1256/kartor/A 40178-2024 karta.png", "A 40178-2024")</f>
        <v/>
      </c>
      <c r="V299">
        <f>HYPERLINK("https://klasma.github.io/Logging_1256/klagomål/A 40178-2024 FSC-klagomål.docx", "A 40178-2024")</f>
        <v/>
      </c>
      <c r="W299">
        <f>HYPERLINK("https://klasma.github.io/Logging_1256/klagomålsmail/A 40178-2024 FSC-klagomål mail.docx", "A 40178-2024")</f>
        <v/>
      </c>
      <c r="X299">
        <f>HYPERLINK("https://klasma.github.io/Logging_1256/tillsyn/A 40178-2024 tillsynsbegäran.docx", "A 40178-2024")</f>
        <v/>
      </c>
      <c r="Y299">
        <f>HYPERLINK("https://klasma.github.io/Logging_1256/tillsynsmail/A 40178-2024 tillsynsbegäran mail.docx", "A 40178-2024")</f>
        <v/>
      </c>
    </row>
    <row r="300" ht="15" customHeight="1">
      <c r="A300" t="inlineStr">
        <is>
          <t>A 33520-2025</t>
        </is>
      </c>
      <c r="B300" s="1" t="n">
        <v>45841.54231481482</v>
      </c>
      <c r="C300" s="1" t="n">
        <v>45962</v>
      </c>
      <c r="D300" t="inlineStr">
        <is>
          <t>SKÅNE LÄN</t>
        </is>
      </c>
      <c r="E300" t="inlineStr">
        <is>
          <t>ÄNGELHOLM</t>
        </is>
      </c>
      <c r="G300" t="n">
        <v>2.4</v>
      </c>
      <c r="H300" t="n">
        <v>1</v>
      </c>
      <c r="I300" t="n">
        <v>0</v>
      </c>
      <c r="J300" t="n">
        <v>1</v>
      </c>
      <c r="K300" t="n">
        <v>0</v>
      </c>
      <c r="L300" t="n">
        <v>0</v>
      </c>
      <c r="M300" t="n">
        <v>0</v>
      </c>
      <c r="N300" t="n">
        <v>0</v>
      </c>
      <c r="O300" t="n">
        <v>1</v>
      </c>
      <c r="P300" t="n">
        <v>0</v>
      </c>
      <c r="Q300" t="n">
        <v>1</v>
      </c>
      <c r="R300" s="2" t="inlineStr">
        <is>
          <t>Entita</t>
        </is>
      </c>
      <c r="S300">
        <f>HYPERLINK("https://klasma.github.io/Logging_1292/artfynd/A 33520-2025 artfynd.xlsx", "A 33520-2025")</f>
        <v/>
      </c>
      <c r="T300">
        <f>HYPERLINK("https://klasma.github.io/Logging_1292/kartor/A 33520-2025 karta.png", "A 33520-2025")</f>
        <v/>
      </c>
      <c r="V300">
        <f>HYPERLINK("https://klasma.github.io/Logging_1292/klagomål/A 33520-2025 FSC-klagomål.docx", "A 33520-2025")</f>
        <v/>
      </c>
      <c r="W300">
        <f>HYPERLINK("https://klasma.github.io/Logging_1292/klagomålsmail/A 33520-2025 FSC-klagomål mail.docx", "A 33520-2025")</f>
        <v/>
      </c>
      <c r="X300">
        <f>HYPERLINK("https://klasma.github.io/Logging_1292/tillsyn/A 33520-2025 tillsynsbegäran.docx", "A 33520-2025")</f>
        <v/>
      </c>
      <c r="Y300">
        <f>HYPERLINK("https://klasma.github.io/Logging_1292/tillsynsmail/A 33520-2025 tillsynsbegäran mail.docx", "A 33520-2025")</f>
        <v/>
      </c>
      <c r="Z300">
        <f>HYPERLINK("https://klasma.github.io/Logging_1292/fåglar/A 33520-2025 prioriterade fågelarter.docx", "A 33520-2025")</f>
        <v/>
      </c>
    </row>
    <row r="301" ht="15" customHeight="1">
      <c r="A301" t="inlineStr">
        <is>
          <t>A 50089-2023</t>
        </is>
      </c>
      <c r="B301" s="1" t="n">
        <v>45208</v>
      </c>
      <c r="C301" s="1" t="n">
        <v>45962</v>
      </c>
      <c r="D301" t="inlineStr">
        <is>
          <t>SKÅNE LÄN</t>
        </is>
      </c>
      <c r="E301" t="inlineStr">
        <is>
          <t>KLIPPAN</t>
        </is>
      </c>
      <c r="G301" t="n">
        <v>13.6</v>
      </c>
      <c r="H301" t="n">
        <v>1</v>
      </c>
      <c r="I301" t="n">
        <v>0</v>
      </c>
      <c r="J301" t="n">
        <v>1</v>
      </c>
      <c r="K301" t="n">
        <v>0</v>
      </c>
      <c r="L301" t="n">
        <v>0</v>
      </c>
      <c r="M301" t="n">
        <v>0</v>
      </c>
      <c r="N301" t="n">
        <v>0</v>
      </c>
      <c r="O301" t="n">
        <v>1</v>
      </c>
      <c r="P301" t="n">
        <v>0</v>
      </c>
      <c r="Q301" t="n">
        <v>1</v>
      </c>
      <c r="R301" s="2" t="inlineStr">
        <is>
          <t>Entita</t>
        </is>
      </c>
      <c r="S301">
        <f>HYPERLINK("https://klasma.github.io/Logging_1276/artfynd/A 50089-2023 artfynd.xlsx", "A 50089-2023")</f>
        <v/>
      </c>
      <c r="T301">
        <f>HYPERLINK("https://klasma.github.io/Logging_1276/kartor/A 50089-2023 karta.png", "A 50089-2023")</f>
        <v/>
      </c>
      <c r="V301">
        <f>HYPERLINK("https://klasma.github.io/Logging_1276/klagomål/A 50089-2023 FSC-klagomål.docx", "A 50089-2023")</f>
        <v/>
      </c>
      <c r="W301">
        <f>HYPERLINK("https://klasma.github.io/Logging_1276/klagomålsmail/A 50089-2023 FSC-klagomål mail.docx", "A 50089-2023")</f>
        <v/>
      </c>
      <c r="X301">
        <f>HYPERLINK("https://klasma.github.io/Logging_1276/tillsyn/A 50089-2023 tillsynsbegäran.docx", "A 50089-2023")</f>
        <v/>
      </c>
      <c r="Y301">
        <f>HYPERLINK("https://klasma.github.io/Logging_1276/tillsynsmail/A 50089-2023 tillsynsbegäran mail.docx", "A 50089-2023")</f>
        <v/>
      </c>
      <c r="Z301">
        <f>HYPERLINK("https://klasma.github.io/Logging_1276/fåglar/A 50089-2023 prioriterade fågelarter.docx", "A 50089-2023")</f>
        <v/>
      </c>
    </row>
    <row r="302" ht="15" customHeight="1">
      <c r="A302" t="inlineStr">
        <is>
          <t>A 33883-2025</t>
        </is>
      </c>
      <c r="B302" s="1" t="n">
        <v>45842.57001157408</v>
      </c>
      <c r="C302" s="1" t="n">
        <v>45962</v>
      </c>
      <c r="D302" t="inlineStr">
        <is>
          <t>SKÅNE LÄN</t>
        </is>
      </c>
      <c r="E302" t="inlineStr">
        <is>
          <t>KRISTIANSTAD</t>
        </is>
      </c>
      <c r="G302" t="n">
        <v>2.3</v>
      </c>
      <c r="H302" t="n">
        <v>0</v>
      </c>
      <c r="I302" t="n">
        <v>1</v>
      </c>
      <c r="J302" t="n">
        <v>0</v>
      </c>
      <c r="K302" t="n">
        <v>0</v>
      </c>
      <c r="L302" t="n">
        <v>0</v>
      </c>
      <c r="M302" t="n">
        <v>0</v>
      </c>
      <c r="N302" t="n">
        <v>0</v>
      </c>
      <c r="O302" t="n">
        <v>0</v>
      </c>
      <c r="P302" t="n">
        <v>0</v>
      </c>
      <c r="Q302" t="n">
        <v>1</v>
      </c>
      <c r="R302" s="2" t="inlineStr">
        <is>
          <t>Stor häxört</t>
        </is>
      </c>
      <c r="S302">
        <f>HYPERLINK("https://klasma.github.io/Logging_1290/artfynd/A 33883-2025 artfynd.xlsx", "A 33883-2025")</f>
        <v/>
      </c>
      <c r="T302">
        <f>HYPERLINK("https://klasma.github.io/Logging_1290/kartor/A 33883-2025 karta.png", "A 33883-2025")</f>
        <v/>
      </c>
      <c r="V302">
        <f>HYPERLINK("https://klasma.github.io/Logging_1290/klagomål/A 33883-2025 FSC-klagomål.docx", "A 33883-2025")</f>
        <v/>
      </c>
      <c r="W302">
        <f>HYPERLINK("https://klasma.github.io/Logging_1290/klagomålsmail/A 33883-2025 FSC-klagomål mail.docx", "A 33883-2025")</f>
        <v/>
      </c>
      <c r="X302">
        <f>HYPERLINK("https://klasma.github.io/Logging_1290/tillsyn/A 33883-2025 tillsynsbegäran.docx", "A 33883-2025")</f>
        <v/>
      </c>
      <c r="Y302">
        <f>HYPERLINK("https://klasma.github.io/Logging_1290/tillsynsmail/A 33883-2025 tillsynsbegäran mail.docx", "A 33883-2025")</f>
        <v/>
      </c>
    </row>
    <row r="303" ht="15" customHeight="1">
      <c r="A303" t="inlineStr">
        <is>
          <t>A 62067-2022</t>
        </is>
      </c>
      <c r="B303" s="1" t="n">
        <v>44918</v>
      </c>
      <c r="C303" s="1" t="n">
        <v>45962</v>
      </c>
      <c r="D303" t="inlineStr">
        <is>
          <t>SKÅNE LÄN</t>
        </is>
      </c>
      <c r="E303" t="inlineStr">
        <is>
          <t>KRISTIANSTAD</t>
        </is>
      </c>
      <c r="G303" t="n">
        <v>3</v>
      </c>
      <c r="H303" t="n">
        <v>0</v>
      </c>
      <c r="I303" t="n">
        <v>1</v>
      </c>
      <c r="J303" t="n">
        <v>0</v>
      </c>
      <c r="K303" t="n">
        <v>0</v>
      </c>
      <c r="L303" t="n">
        <v>0</v>
      </c>
      <c r="M303" t="n">
        <v>0</v>
      </c>
      <c r="N303" t="n">
        <v>0</v>
      </c>
      <c r="O303" t="n">
        <v>0</v>
      </c>
      <c r="P303" t="n">
        <v>0</v>
      </c>
      <c r="Q303" t="n">
        <v>1</v>
      </c>
      <c r="R303" s="2" t="inlineStr">
        <is>
          <t>Plattad jordtunga</t>
        </is>
      </c>
      <c r="S303">
        <f>HYPERLINK("https://klasma.github.io/Logging_1290/artfynd/A 62067-2022 artfynd.xlsx", "A 62067-2022")</f>
        <v/>
      </c>
      <c r="T303">
        <f>HYPERLINK("https://klasma.github.io/Logging_1290/kartor/A 62067-2022 karta.png", "A 62067-2022")</f>
        <v/>
      </c>
      <c r="V303">
        <f>HYPERLINK("https://klasma.github.io/Logging_1290/klagomål/A 62067-2022 FSC-klagomål.docx", "A 62067-2022")</f>
        <v/>
      </c>
      <c r="W303">
        <f>HYPERLINK("https://klasma.github.io/Logging_1290/klagomålsmail/A 62067-2022 FSC-klagomål mail.docx", "A 62067-2022")</f>
        <v/>
      </c>
      <c r="X303">
        <f>HYPERLINK("https://klasma.github.io/Logging_1290/tillsyn/A 62067-2022 tillsynsbegäran.docx", "A 62067-2022")</f>
        <v/>
      </c>
      <c r="Y303">
        <f>HYPERLINK("https://klasma.github.io/Logging_1290/tillsynsmail/A 62067-2022 tillsynsbegäran mail.docx", "A 62067-2022")</f>
        <v/>
      </c>
    </row>
    <row r="304" ht="15" customHeight="1">
      <c r="A304" t="inlineStr">
        <is>
          <t>A 35258-2024</t>
        </is>
      </c>
      <c r="B304" s="1" t="n">
        <v>45530</v>
      </c>
      <c r="C304" s="1" t="n">
        <v>45962</v>
      </c>
      <c r="D304" t="inlineStr">
        <is>
          <t>SKÅNE LÄN</t>
        </is>
      </c>
      <c r="E304" t="inlineStr">
        <is>
          <t>SJÖBO</t>
        </is>
      </c>
      <c r="G304" t="n">
        <v>16.6</v>
      </c>
      <c r="H304" t="n">
        <v>0</v>
      </c>
      <c r="I304" t="n">
        <v>0</v>
      </c>
      <c r="J304" t="n">
        <v>0</v>
      </c>
      <c r="K304" t="n">
        <v>0</v>
      </c>
      <c r="L304" t="n">
        <v>1</v>
      </c>
      <c r="M304" t="n">
        <v>0</v>
      </c>
      <c r="N304" t="n">
        <v>0</v>
      </c>
      <c r="O304" t="n">
        <v>1</v>
      </c>
      <c r="P304" t="n">
        <v>1</v>
      </c>
      <c r="Q304" t="n">
        <v>1</v>
      </c>
      <c r="R304" s="2" t="inlineStr">
        <is>
          <t>Ask</t>
        </is>
      </c>
      <c r="S304">
        <f>HYPERLINK("https://klasma.github.io/Logging_1265/artfynd/A 35258-2024 artfynd.xlsx", "A 35258-2024")</f>
        <v/>
      </c>
      <c r="T304">
        <f>HYPERLINK("https://klasma.github.io/Logging_1265/kartor/A 35258-2024 karta.png", "A 35258-2024")</f>
        <v/>
      </c>
      <c r="V304">
        <f>HYPERLINK("https://klasma.github.io/Logging_1265/klagomål/A 35258-2024 FSC-klagomål.docx", "A 35258-2024")</f>
        <v/>
      </c>
      <c r="W304">
        <f>HYPERLINK("https://klasma.github.io/Logging_1265/klagomålsmail/A 35258-2024 FSC-klagomål mail.docx", "A 35258-2024")</f>
        <v/>
      </c>
      <c r="X304">
        <f>HYPERLINK("https://klasma.github.io/Logging_1265/tillsyn/A 35258-2024 tillsynsbegäran.docx", "A 35258-2024")</f>
        <v/>
      </c>
      <c r="Y304">
        <f>HYPERLINK("https://klasma.github.io/Logging_1265/tillsynsmail/A 35258-2024 tillsynsbegäran mail.docx", "A 35258-2024")</f>
        <v/>
      </c>
    </row>
    <row r="305" ht="15" customHeight="1">
      <c r="A305" t="inlineStr">
        <is>
          <t>A 4746-2025</t>
        </is>
      </c>
      <c r="B305" s="1" t="n">
        <v>45688.46011574074</v>
      </c>
      <c r="C305" s="1" t="n">
        <v>45962</v>
      </c>
      <c r="D305" t="inlineStr">
        <is>
          <t>SKÅNE LÄN</t>
        </is>
      </c>
      <c r="E305" t="inlineStr">
        <is>
          <t>LUND</t>
        </is>
      </c>
      <c r="G305" t="n">
        <v>1.1</v>
      </c>
      <c r="H305" t="n">
        <v>1</v>
      </c>
      <c r="I305" t="n">
        <v>0</v>
      </c>
      <c r="J305" t="n">
        <v>1</v>
      </c>
      <c r="K305" t="n">
        <v>0</v>
      </c>
      <c r="L305" t="n">
        <v>0</v>
      </c>
      <c r="M305" t="n">
        <v>0</v>
      </c>
      <c r="N305" t="n">
        <v>0</v>
      </c>
      <c r="O305" t="n">
        <v>1</v>
      </c>
      <c r="P305" t="n">
        <v>0</v>
      </c>
      <c r="Q305" t="n">
        <v>1</v>
      </c>
      <c r="R305" s="2" t="inlineStr">
        <is>
          <t>Svartvit flugsnappare</t>
        </is>
      </c>
      <c r="S305">
        <f>HYPERLINK("https://klasma.github.io/Logging_1281/artfynd/A 4746-2025 artfynd.xlsx", "A 4746-2025")</f>
        <v/>
      </c>
      <c r="T305">
        <f>HYPERLINK("https://klasma.github.io/Logging_1281/kartor/A 4746-2025 karta.png", "A 4746-2025")</f>
        <v/>
      </c>
      <c r="V305">
        <f>HYPERLINK("https://klasma.github.io/Logging_1281/klagomål/A 4746-2025 FSC-klagomål.docx", "A 4746-2025")</f>
        <v/>
      </c>
      <c r="W305">
        <f>HYPERLINK("https://klasma.github.io/Logging_1281/klagomålsmail/A 4746-2025 FSC-klagomål mail.docx", "A 4746-2025")</f>
        <v/>
      </c>
      <c r="X305">
        <f>HYPERLINK("https://klasma.github.io/Logging_1281/tillsyn/A 4746-2025 tillsynsbegäran.docx", "A 4746-2025")</f>
        <v/>
      </c>
      <c r="Y305">
        <f>HYPERLINK("https://klasma.github.io/Logging_1281/tillsynsmail/A 4746-2025 tillsynsbegäran mail.docx", "A 4746-2025")</f>
        <v/>
      </c>
      <c r="Z305">
        <f>HYPERLINK("https://klasma.github.io/Logging_1281/fåglar/A 4746-2025 prioriterade fågelarter.docx", "A 4746-2025")</f>
        <v/>
      </c>
    </row>
    <row r="306" ht="15" customHeight="1">
      <c r="A306" t="inlineStr">
        <is>
          <t>A 4816-2025</t>
        </is>
      </c>
      <c r="B306" s="1" t="n">
        <v>45688.62052083333</v>
      </c>
      <c r="C306" s="1" t="n">
        <v>45962</v>
      </c>
      <c r="D306" t="inlineStr">
        <is>
          <t>SKÅNE LÄN</t>
        </is>
      </c>
      <c r="E306" t="inlineStr">
        <is>
          <t>LUND</t>
        </is>
      </c>
      <c r="G306" t="n">
        <v>7.7</v>
      </c>
      <c r="H306" t="n">
        <v>0</v>
      </c>
      <c r="I306" t="n">
        <v>1</v>
      </c>
      <c r="J306" t="n">
        <v>0</v>
      </c>
      <c r="K306" t="n">
        <v>0</v>
      </c>
      <c r="L306" t="n">
        <v>0</v>
      </c>
      <c r="M306" t="n">
        <v>0</v>
      </c>
      <c r="N306" t="n">
        <v>0</v>
      </c>
      <c r="O306" t="n">
        <v>0</v>
      </c>
      <c r="P306" t="n">
        <v>0</v>
      </c>
      <c r="Q306" t="n">
        <v>1</v>
      </c>
      <c r="R306" s="2" t="inlineStr">
        <is>
          <t>Strutbräken</t>
        </is>
      </c>
      <c r="S306">
        <f>HYPERLINK("https://klasma.github.io/Logging_1281/artfynd/A 4816-2025 artfynd.xlsx", "A 4816-2025")</f>
        <v/>
      </c>
      <c r="T306">
        <f>HYPERLINK("https://klasma.github.io/Logging_1281/kartor/A 4816-2025 karta.png", "A 4816-2025")</f>
        <v/>
      </c>
      <c r="V306">
        <f>HYPERLINK("https://klasma.github.io/Logging_1281/klagomål/A 4816-2025 FSC-klagomål.docx", "A 4816-2025")</f>
        <v/>
      </c>
      <c r="W306">
        <f>HYPERLINK("https://klasma.github.io/Logging_1281/klagomålsmail/A 4816-2025 FSC-klagomål mail.docx", "A 4816-2025")</f>
        <v/>
      </c>
      <c r="X306">
        <f>HYPERLINK("https://klasma.github.io/Logging_1281/tillsyn/A 4816-2025 tillsynsbegäran.docx", "A 4816-2025")</f>
        <v/>
      </c>
      <c r="Y306">
        <f>HYPERLINK("https://klasma.github.io/Logging_1281/tillsynsmail/A 4816-2025 tillsynsbegäran mail.docx", "A 4816-2025")</f>
        <v/>
      </c>
    </row>
    <row r="307" ht="15" customHeight="1">
      <c r="A307" t="inlineStr">
        <is>
          <t>A 45832-2023</t>
        </is>
      </c>
      <c r="B307" s="1" t="n">
        <v>45195</v>
      </c>
      <c r="C307" s="1" t="n">
        <v>45962</v>
      </c>
      <c r="D307" t="inlineStr">
        <is>
          <t>SKÅNE LÄN</t>
        </is>
      </c>
      <c r="E307" t="inlineStr">
        <is>
          <t>HELSINGBORG</t>
        </is>
      </c>
      <c r="G307" t="n">
        <v>2.3</v>
      </c>
      <c r="H307" t="n">
        <v>0</v>
      </c>
      <c r="I307" t="n">
        <v>0</v>
      </c>
      <c r="J307" t="n">
        <v>1</v>
      </c>
      <c r="K307" t="n">
        <v>0</v>
      </c>
      <c r="L307" t="n">
        <v>0</v>
      </c>
      <c r="M307" t="n">
        <v>0</v>
      </c>
      <c r="N307" t="n">
        <v>0</v>
      </c>
      <c r="O307" t="n">
        <v>1</v>
      </c>
      <c r="P307" t="n">
        <v>0</v>
      </c>
      <c r="Q307" t="n">
        <v>1</v>
      </c>
      <c r="R307" s="2" t="inlineStr">
        <is>
          <t>Skånebjörnbär</t>
        </is>
      </c>
      <c r="S307">
        <f>HYPERLINK("https://klasma.github.io/Logging_1283/artfynd/A 45832-2023 artfynd.xlsx", "A 45832-2023")</f>
        <v/>
      </c>
      <c r="T307">
        <f>HYPERLINK("https://klasma.github.io/Logging_1283/kartor/A 45832-2023 karta.png", "A 45832-2023")</f>
        <v/>
      </c>
      <c r="V307">
        <f>HYPERLINK("https://klasma.github.io/Logging_1283/klagomål/A 45832-2023 FSC-klagomål.docx", "A 45832-2023")</f>
        <v/>
      </c>
      <c r="W307">
        <f>HYPERLINK("https://klasma.github.io/Logging_1283/klagomålsmail/A 45832-2023 FSC-klagomål mail.docx", "A 45832-2023")</f>
        <v/>
      </c>
      <c r="X307">
        <f>HYPERLINK("https://klasma.github.io/Logging_1283/tillsyn/A 45832-2023 tillsynsbegäran.docx", "A 45832-2023")</f>
        <v/>
      </c>
      <c r="Y307">
        <f>HYPERLINK("https://klasma.github.io/Logging_1283/tillsynsmail/A 45832-2023 tillsynsbegäran mail.docx", "A 45832-2023")</f>
        <v/>
      </c>
    </row>
    <row r="308" ht="15" customHeight="1">
      <c r="A308" t="inlineStr">
        <is>
          <t>A 45802-2022</t>
        </is>
      </c>
      <c r="B308" s="1" t="n">
        <v>44844</v>
      </c>
      <c r="C308" s="1" t="n">
        <v>45962</v>
      </c>
      <c r="D308" t="inlineStr">
        <is>
          <t>SKÅNE LÄN</t>
        </is>
      </c>
      <c r="E308" t="inlineStr">
        <is>
          <t>SIMRISHAMN</t>
        </is>
      </c>
      <c r="G308" t="n">
        <v>1.2</v>
      </c>
      <c r="H308" t="n">
        <v>0</v>
      </c>
      <c r="I308" t="n">
        <v>0</v>
      </c>
      <c r="J308" t="n">
        <v>0</v>
      </c>
      <c r="K308" t="n">
        <v>0</v>
      </c>
      <c r="L308" t="n">
        <v>1</v>
      </c>
      <c r="M308" t="n">
        <v>0</v>
      </c>
      <c r="N308" t="n">
        <v>0</v>
      </c>
      <c r="O308" t="n">
        <v>1</v>
      </c>
      <c r="P308" t="n">
        <v>1</v>
      </c>
      <c r="Q308" t="n">
        <v>1</v>
      </c>
      <c r="R308" s="2" t="inlineStr">
        <is>
          <t>Hartsticka</t>
        </is>
      </c>
      <c r="S308">
        <f>HYPERLINK("https://klasma.github.io/Logging_1291/artfynd/A 45802-2022 artfynd.xlsx", "A 45802-2022")</f>
        <v/>
      </c>
      <c r="T308">
        <f>HYPERLINK("https://klasma.github.io/Logging_1291/kartor/A 45802-2022 karta.png", "A 45802-2022")</f>
        <v/>
      </c>
      <c r="V308">
        <f>HYPERLINK("https://klasma.github.io/Logging_1291/klagomål/A 45802-2022 FSC-klagomål.docx", "A 45802-2022")</f>
        <v/>
      </c>
      <c r="W308">
        <f>HYPERLINK("https://klasma.github.io/Logging_1291/klagomålsmail/A 45802-2022 FSC-klagomål mail.docx", "A 45802-2022")</f>
        <v/>
      </c>
      <c r="X308">
        <f>HYPERLINK("https://klasma.github.io/Logging_1291/tillsyn/A 45802-2022 tillsynsbegäran.docx", "A 45802-2022")</f>
        <v/>
      </c>
      <c r="Y308">
        <f>HYPERLINK("https://klasma.github.io/Logging_1291/tillsynsmail/A 45802-2022 tillsynsbegäran mail.docx", "A 45802-2022")</f>
        <v/>
      </c>
    </row>
    <row r="309" ht="15" customHeight="1">
      <c r="A309" t="inlineStr">
        <is>
          <t>A 3924-2024</t>
        </is>
      </c>
      <c r="B309" s="1" t="n">
        <v>45322.57806712963</v>
      </c>
      <c r="C309" s="1" t="n">
        <v>45962</v>
      </c>
      <c r="D309" t="inlineStr">
        <is>
          <t>SKÅNE LÄN</t>
        </is>
      </c>
      <c r="E309" t="inlineStr">
        <is>
          <t>HÖÖR</t>
        </is>
      </c>
      <c r="G309" t="n">
        <v>1.2</v>
      </c>
      <c r="H309" t="n">
        <v>0</v>
      </c>
      <c r="I309" t="n">
        <v>0</v>
      </c>
      <c r="J309" t="n">
        <v>0</v>
      </c>
      <c r="K309" t="n">
        <v>0</v>
      </c>
      <c r="L309" t="n">
        <v>1</v>
      </c>
      <c r="M309" t="n">
        <v>0</v>
      </c>
      <c r="N309" t="n">
        <v>0</v>
      </c>
      <c r="O309" t="n">
        <v>1</v>
      </c>
      <c r="P309" t="n">
        <v>1</v>
      </c>
      <c r="Q309" t="n">
        <v>1</v>
      </c>
      <c r="R309" s="2" t="inlineStr">
        <is>
          <t>Vitnoppa</t>
        </is>
      </c>
      <c r="S309">
        <f>HYPERLINK("https://klasma.github.io/Logging_1267/artfynd/A 3924-2024 artfynd.xlsx", "A 3924-2024")</f>
        <v/>
      </c>
      <c r="T309">
        <f>HYPERLINK("https://klasma.github.io/Logging_1267/kartor/A 3924-2024 karta.png", "A 3924-2024")</f>
        <v/>
      </c>
      <c r="V309">
        <f>HYPERLINK("https://klasma.github.io/Logging_1267/klagomål/A 3924-2024 FSC-klagomål.docx", "A 3924-2024")</f>
        <v/>
      </c>
      <c r="W309">
        <f>HYPERLINK("https://klasma.github.io/Logging_1267/klagomålsmail/A 3924-2024 FSC-klagomål mail.docx", "A 3924-2024")</f>
        <v/>
      </c>
      <c r="X309">
        <f>HYPERLINK("https://klasma.github.io/Logging_1267/tillsyn/A 3924-2024 tillsynsbegäran.docx", "A 3924-2024")</f>
        <v/>
      </c>
      <c r="Y309">
        <f>HYPERLINK("https://klasma.github.io/Logging_1267/tillsynsmail/A 3924-2024 tillsynsbegäran mail.docx", "A 3924-2024")</f>
        <v/>
      </c>
    </row>
    <row r="310" ht="15" customHeight="1">
      <c r="A310" t="inlineStr">
        <is>
          <t>A 28429-2024</t>
        </is>
      </c>
      <c r="B310" s="1" t="n">
        <v>45477</v>
      </c>
      <c r="C310" s="1" t="n">
        <v>45962</v>
      </c>
      <c r="D310" t="inlineStr">
        <is>
          <t>SKÅNE LÄN</t>
        </is>
      </c>
      <c r="E310" t="inlineStr">
        <is>
          <t>KRISTIANSTAD</t>
        </is>
      </c>
      <c r="G310" t="n">
        <v>0.4</v>
      </c>
      <c r="H310" t="n">
        <v>0</v>
      </c>
      <c r="I310" t="n">
        <v>0</v>
      </c>
      <c r="J310" t="n">
        <v>1</v>
      </c>
      <c r="K310" t="n">
        <v>0</v>
      </c>
      <c r="L310" t="n">
        <v>0</v>
      </c>
      <c r="M310" t="n">
        <v>0</v>
      </c>
      <c r="N310" t="n">
        <v>0</v>
      </c>
      <c r="O310" t="n">
        <v>1</v>
      </c>
      <c r="P310" t="n">
        <v>0</v>
      </c>
      <c r="Q310" t="n">
        <v>1</v>
      </c>
      <c r="R310" s="2" t="inlineStr">
        <is>
          <t>Knölspindel</t>
        </is>
      </c>
      <c r="S310">
        <f>HYPERLINK("https://klasma.github.io/Logging_1290/artfynd/A 28429-2024 artfynd.xlsx", "A 28429-2024")</f>
        <v/>
      </c>
      <c r="T310">
        <f>HYPERLINK("https://klasma.github.io/Logging_1290/kartor/A 28429-2024 karta.png", "A 28429-2024")</f>
        <v/>
      </c>
      <c r="V310">
        <f>HYPERLINK("https://klasma.github.io/Logging_1290/klagomål/A 28429-2024 FSC-klagomål.docx", "A 28429-2024")</f>
        <v/>
      </c>
      <c r="W310">
        <f>HYPERLINK("https://klasma.github.io/Logging_1290/klagomålsmail/A 28429-2024 FSC-klagomål mail.docx", "A 28429-2024")</f>
        <v/>
      </c>
      <c r="X310">
        <f>HYPERLINK("https://klasma.github.io/Logging_1290/tillsyn/A 28429-2024 tillsynsbegäran.docx", "A 28429-2024")</f>
        <v/>
      </c>
      <c r="Y310">
        <f>HYPERLINK("https://klasma.github.io/Logging_1290/tillsynsmail/A 28429-2024 tillsynsbegäran mail.docx", "A 28429-2024")</f>
        <v/>
      </c>
    </row>
    <row r="311" ht="15" customHeight="1">
      <c r="A311" t="inlineStr">
        <is>
          <t>A 4619-2025</t>
        </is>
      </c>
      <c r="B311" s="1" t="n">
        <v>45687</v>
      </c>
      <c r="C311" s="1" t="n">
        <v>45962</v>
      </c>
      <c r="D311" t="inlineStr">
        <is>
          <t>SKÅNE LÄN</t>
        </is>
      </c>
      <c r="E311" t="inlineStr">
        <is>
          <t>HÄSSLEHOLM</t>
        </is>
      </c>
      <c r="G311" t="n">
        <v>2.2</v>
      </c>
      <c r="H311" t="n">
        <v>0</v>
      </c>
      <c r="I311" t="n">
        <v>0</v>
      </c>
      <c r="J311" t="n">
        <v>0</v>
      </c>
      <c r="K311" t="n">
        <v>1</v>
      </c>
      <c r="L311" t="n">
        <v>0</v>
      </c>
      <c r="M311" t="n">
        <v>0</v>
      </c>
      <c r="N311" t="n">
        <v>0</v>
      </c>
      <c r="O311" t="n">
        <v>1</v>
      </c>
      <c r="P311" t="n">
        <v>1</v>
      </c>
      <c r="Q311" t="n">
        <v>1</v>
      </c>
      <c r="R311" s="2" t="inlineStr">
        <is>
          <t>Vildris</t>
        </is>
      </c>
      <c r="S311">
        <f>HYPERLINK("https://klasma.github.io/Logging_1293/artfynd/A 4619-2025 artfynd.xlsx", "A 4619-2025")</f>
        <v/>
      </c>
      <c r="T311">
        <f>HYPERLINK("https://klasma.github.io/Logging_1293/kartor/A 4619-2025 karta.png", "A 4619-2025")</f>
        <v/>
      </c>
      <c r="V311">
        <f>HYPERLINK("https://klasma.github.io/Logging_1293/klagomål/A 4619-2025 FSC-klagomål.docx", "A 4619-2025")</f>
        <v/>
      </c>
      <c r="W311">
        <f>HYPERLINK("https://klasma.github.io/Logging_1293/klagomålsmail/A 4619-2025 FSC-klagomål mail.docx", "A 4619-2025")</f>
        <v/>
      </c>
      <c r="X311">
        <f>HYPERLINK("https://klasma.github.io/Logging_1293/tillsyn/A 4619-2025 tillsynsbegäran.docx", "A 4619-2025")</f>
        <v/>
      </c>
      <c r="Y311">
        <f>HYPERLINK("https://klasma.github.io/Logging_1293/tillsynsmail/A 4619-2025 tillsynsbegäran mail.docx", "A 4619-2025")</f>
        <v/>
      </c>
    </row>
    <row r="312" ht="15" customHeight="1">
      <c r="A312" t="inlineStr">
        <is>
          <t>A 2482-2025</t>
        </is>
      </c>
      <c r="B312" s="1" t="n">
        <v>45674</v>
      </c>
      <c r="C312" s="1" t="n">
        <v>45962</v>
      </c>
      <c r="D312" t="inlineStr">
        <is>
          <t>SKÅNE LÄN</t>
        </is>
      </c>
      <c r="E312" t="inlineStr">
        <is>
          <t>SVEDALA</t>
        </is>
      </c>
      <c r="G312" t="n">
        <v>0.5</v>
      </c>
      <c r="H312" t="n">
        <v>0</v>
      </c>
      <c r="I312" t="n">
        <v>0</v>
      </c>
      <c r="J312" t="n">
        <v>1</v>
      </c>
      <c r="K312" t="n">
        <v>0</v>
      </c>
      <c r="L312" t="n">
        <v>0</v>
      </c>
      <c r="M312" t="n">
        <v>0</v>
      </c>
      <c r="N312" t="n">
        <v>0</v>
      </c>
      <c r="O312" t="n">
        <v>1</v>
      </c>
      <c r="P312" t="n">
        <v>0</v>
      </c>
      <c r="Q312" t="n">
        <v>1</v>
      </c>
      <c r="R312" s="2" t="inlineStr">
        <is>
          <t>Korallticka</t>
        </is>
      </c>
      <c r="S312">
        <f>HYPERLINK("https://klasma.github.io/Logging_1263/artfynd/A 2482-2025 artfynd.xlsx", "A 2482-2025")</f>
        <v/>
      </c>
      <c r="T312">
        <f>HYPERLINK("https://klasma.github.io/Logging_1263/kartor/A 2482-2025 karta.png", "A 2482-2025")</f>
        <v/>
      </c>
      <c r="V312">
        <f>HYPERLINK("https://klasma.github.io/Logging_1263/klagomål/A 2482-2025 FSC-klagomål.docx", "A 2482-2025")</f>
        <v/>
      </c>
      <c r="W312">
        <f>HYPERLINK("https://klasma.github.io/Logging_1263/klagomålsmail/A 2482-2025 FSC-klagomål mail.docx", "A 2482-2025")</f>
        <v/>
      </c>
      <c r="X312">
        <f>HYPERLINK("https://klasma.github.io/Logging_1263/tillsyn/A 2482-2025 tillsynsbegäran.docx", "A 2482-2025")</f>
        <v/>
      </c>
      <c r="Y312">
        <f>HYPERLINK("https://klasma.github.io/Logging_1263/tillsynsmail/A 2482-2025 tillsynsbegäran mail.docx", "A 2482-2025")</f>
        <v/>
      </c>
    </row>
    <row r="313" ht="15" customHeight="1">
      <c r="A313" t="inlineStr">
        <is>
          <t>A 47029-2025</t>
        </is>
      </c>
      <c r="B313" s="1" t="n">
        <v>45929.58872685185</v>
      </c>
      <c r="C313" s="1" t="n">
        <v>45962</v>
      </c>
      <c r="D313" t="inlineStr">
        <is>
          <t>SKÅNE LÄN</t>
        </is>
      </c>
      <c r="E313" t="inlineStr">
        <is>
          <t>KRISTIANSTAD</t>
        </is>
      </c>
      <c r="G313" t="n">
        <v>13.5</v>
      </c>
      <c r="H313" t="n">
        <v>1</v>
      </c>
      <c r="I313" t="n">
        <v>0</v>
      </c>
      <c r="J313" t="n">
        <v>0</v>
      </c>
      <c r="K313" t="n">
        <v>0</v>
      </c>
      <c r="L313" t="n">
        <v>0</v>
      </c>
      <c r="M313" t="n">
        <v>0</v>
      </c>
      <c r="N313" t="n">
        <v>0</v>
      </c>
      <c r="O313" t="n">
        <v>0</v>
      </c>
      <c r="P313" t="n">
        <v>0</v>
      </c>
      <c r="Q313" t="n">
        <v>1</v>
      </c>
      <c r="R313" s="2" t="inlineStr">
        <is>
          <t>Kopparödla</t>
        </is>
      </c>
      <c r="S313">
        <f>HYPERLINK("https://klasma.github.io/Logging_1290/artfynd/A 47029-2025 artfynd.xlsx", "A 47029-2025")</f>
        <v/>
      </c>
      <c r="T313">
        <f>HYPERLINK("https://klasma.github.io/Logging_1290/kartor/A 47029-2025 karta.png", "A 47029-2025")</f>
        <v/>
      </c>
      <c r="V313">
        <f>HYPERLINK("https://klasma.github.io/Logging_1290/klagomål/A 47029-2025 FSC-klagomål.docx", "A 47029-2025")</f>
        <v/>
      </c>
      <c r="W313">
        <f>HYPERLINK("https://klasma.github.io/Logging_1290/klagomålsmail/A 47029-2025 FSC-klagomål mail.docx", "A 47029-2025")</f>
        <v/>
      </c>
      <c r="X313">
        <f>HYPERLINK("https://klasma.github.io/Logging_1290/tillsyn/A 47029-2025 tillsynsbegäran.docx", "A 47029-2025")</f>
        <v/>
      </c>
      <c r="Y313">
        <f>HYPERLINK("https://klasma.github.io/Logging_1290/tillsynsmail/A 47029-2025 tillsynsbegäran mail.docx", "A 47029-2025")</f>
        <v/>
      </c>
    </row>
    <row r="314" ht="15" customHeight="1">
      <c r="A314" t="inlineStr">
        <is>
          <t>A 38763-2025</t>
        </is>
      </c>
      <c r="B314" s="1" t="n">
        <v>45887</v>
      </c>
      <c r="C314" s="1" t="n">
        <v>45962</v>
      </c>
      <c r="D314" t="inlineStr">
        <is>
          <t>SKÅNE LÄN</t>
        </is>
      </c>
      <c r="E314" t="inlineStr">
        <is>
          <t>ÄNGELHOLM</t>
        </is>
      </c>
      <c r="G314" t="n">
        <v>0.6</v>
      </c>
      <c r="H314" t="n">
        <v>0</v>
      </c>
      <c r="I314" t="n">
        <v>1</v>
      </c>
      <c r="J314" t="n">
        <v>0</v>
      </c>
      <c r="K314" t="n">
        <v>0</v>
      </c>
      <c r="L314" t="n">
        <v>0</v>
      </c>
      <c r="M314" t="n">
        <v>0</v>
      </c>
      <c r="N314" t="n">
        <v>0</v>
      </c>
      <c r="O314" t="n">
        <v>0</v>
      </c>
      <c r="P314" t="n">
        <v>0</v>
      </c>
      <c r="Q314" t="n">
        <v>1</v>
      </c>
      <c r="R314" s="2" t="inlineStr">
        <is>
          <t>Lundvårlök</t>
        </is>
      </c>
      <c r="S314">
        <f>HYPERLINK("https://klasma.github.io/Logging_1292/artfynd/A 38763-2025 artfynd.xlsx", "A 38763-2025")</f>
        <v/>
      </c>
      <c r="T314">
        <f>HYPERLINK("https://klasma.github.io/Logging_1292/kartor/A 38763-2025 karta.png", "A 38763-2025")</f>
        <v/>
      </c>
      <c r="V314">
        <f>HYPERLINK("https://klasma.github.io/Logging_1292/klagomål/A 38763-2025 FSC-klagomål.docx", "A 38763-2025")</f>
        <v/>
      </c>
      <c r="W314">
        <f>HYPERLINK("https://klasma.github.io/Logging_1292/klagomålsmail/A 38763-2025 FSC-klagomål mail.docx", "A 38763-2025")</f>
        <v/>
      </c>
      <c r="X314">
        <f>HYPERLINK("https://klasma.github.io/Logging_1292/tillsyn/A 38763-2025 tillsynsbegäran.docx", "A 38763-2025")</f>
        <v/>
      </c>
      <c r="Y314">
        <f>HYPERLINK("https://klasma.github.io/Logging_1292/tillsynsmail/A 38763-2025 tillsynsbegäran mail.docx", "A 38763-2025")</f>
        <v/>
      </c>
    </row>
    <row r="315" ht="15" customHeight="1">
      <c r="A315" t="inlineStr">
        <is>
          <t>A 46477-2025</t>
        </is>
      </c>
      <c r="B315" s="1" t="n">
        <v>45925.69354166667</v>
      </c>
      <c r="C315" s="1" t="n">
        <v>45962</v>
      </c>
      <c r="D315" t="inlineStr">
        <is>
          <t>SKÅNE LÄN</t>
        </is>
      </c>
      <c r="E315" t="inlineStr">
        <is>
          <t>OSBY</t>
        </is>
      </c>
      <c r="G315" t="n">
        <v>0.7</v>
      </c>
      <c r="H315" t="n">
        <v>1</v>
      </c>
      <c r="I315" t="n">
        <v>0</v>
      </c>
      <c r="J315" t="n">
        <v>0</v>
      </c>
      <c r="K315" t="n">
        <v>0</v>
      </c>
      <c r="L315" t="n">
        <v>0</v>
      </c>
      <c r="M315" t="n">
        <v>0</v>
      </c>
      <c r="N315" t="n">
        <v>0</v>
      </c>
      <c r="O315" t="n">
        <v>0</v>
      </c>
      <c r="P315" t="n">
        <v>0</v>
      </c>
      <c r="Q315" t="n">
        <v>1</v>
      </c>
      <c r="R315" s="2" t="inlineStr">
        <is>
          <t>Kopparödla</t>
        </is>
      </c>
      <c r="S315">
        <f>HYPERLINK("https://klasma.github.io/Logging_1273/artfynd/A 46477-2025 artfynd.xlsx", "A 46477-2025")</f>
        <v/>
      </c>
      <c r="T315">
        <f>HYPERLINK("https://klasma.github.io/Logging_1273/kartor/A 46477-2025 karta.png", "A 46477-2025")</f>
        <v/>
      </c>
      <c r="V315">
        <f>HYPERLINK("https://klasma.github.io/Logging_1273/klagomål/A 46477-2025 FSC-klagomål.docx", "A 46477-2025")</f>
        <v/>
      </c>
      <c r="W315">
        <f>HYPERLINK("https://klasma.github.io/Logging_1273/klagomålsmail/A 46477-2025 FSC-klagomål mail.docx", "A 46477-2025")</f>
        <v/>
      </c>
      <c r="X315">
        <f>HYPERLINK("https://klasma.github.io/Logging_1273/tillsyn/A 46477-2025 tillsynsbegäran.docx", "A 46477-2025")</f>
        <v/>
      </c>
      <c r="Y315">
        <f>HYPERLINK("https://klasma.github.io/Logging_1273/tillsynsmail/A 46477-2025 tillsynsbegäran mail.docx", "A 46477-2025")</f>
        <v/>
      </c>
    </row>
    <row r="316" ht="15" customHeight="1">
      <c r="A316" t="inlineStr">
        <is>
          <t>A 26958-2025</t>
        </is>
      </c>
      <c r="B316" s="1" t="n">
        <v>45811.4569212963</v>
      </c>
      <c r="C316" s="1" t="n">
        <v>45962</v>
      </c>
      <c r="D316" t="inlineStr">
        <is>
          <t>SKÅNE LÄN</t>
        </is>
      </c>
      <c r="E316" t="inlineStr">
        <is>
          <t>TOMELILLA</t>
        </is>
      </c>
      <c r="G316" t="n">
        <v>2.9</v>
      </c>
      <c r="H316" t="n">
        <v>0</v>
      </c>
      <c r="I316" t="n">
        <v>1</v>
      </c>
      <c r="J316" t="n">
        <v>0</v>
      </c>
      <c r="K316" t="n">
        <v>0</v>
      </c>
      <c r="L316" t="n">
        <v>0</v>
      </c>
      <c r="M316" t="n">
        <v>0</v>
      </c>
      <c r="N316" t="n">
        <v>0</v>
      </c>
      <c r="O316" t="n">
        <v>0</v>
      </c>
      <c r="P316" t="n">
        <v>0</v>
      </c>
      <c r="Q316" t="n">
        <v>1</v>
      </c>
      <c r="R316" s="2" t="inlineStr">
        <is>
          <t>Murgröna</t>
        </is>
      </c>
      <c r="S316">
        <f>HYPERLINK("https://klasma.github.io/Logging_1270/artfynd/A 26958-2025 artfynd.xlsx", "A 26958-2025")</f>
        <v/>
      </c>
      <c r="T316">
        <f>HYPERLINK("https://klasma.github.io/Logging_1270/kartor/A 26958-2025 karta.png", "A 26958-2025")</f>
        <v/>
      </c>
      <c r="V316">
        <f>HYPERLINK("https://klasma.github.io/Logging_1270/klagomål/A 26958-2025 FSC-klagomål.docx", "A 26958-2025")</f>
        <v/>
      </c>
      <c r="W316">
        <f>HYPERLINK("https://klasma.github.io/Logging_1270/klagomålsmail/A 26958-2025 FSC-klagomål mail.docx", "A 26958-2025")</f>
        <v/>
      </c>
      <c r="X316">
        <f>HYPERLINK("https://klasma.github.io/Logging_1270/tillsyn/A 26958-2025 tillsynsbegäran.docx", "A 26958-2025")</f>
        <v/>
      </c>
      <c r="Y316">
        <f>HYPERLINK("https://klasma.github.io/Logging_1270/tillsynsmail/A 26958-2025 tillsynsbegäran mail.docx", "A 26958-2025")</f>
        <v/>
      </c>
    </row>
    <row r="317" ht="15" customHeight="1">
      <c r="A317" t="inlineStr">
        <is>
          <t>A 36266-2025</t>
        </is>
      </c>
      <c r="B317" s="1" t="n">
        <v>45867.61590277778</v>
      </c>
      <c r="C317" s="1" t="n">
        <v>45962</v>
      </c>
      <c r="D317" t="inlineStr">
        <is>
          <t>SKÅNE LÄN</t>
        </is>
      </c>
      <c r="E317" t="inlineStr">
        <is>
          <t>OSBY</t>
        </is>
      </c>
      <c r="G317" t="n">
        <v>3.3</v>
      </c>
      <c r="H317" t="n">
        <v>1</v>
      </c>
      <c r="I317" t="n">
        <v>0</v>
      </c>
      <c r="J317" t="n">
        <v>1</v>
      </c>
      <c r="K317" t="n">
        <v>0</v>
      </c>
      <c r="L317" t="n">
        <v>0</v>
      </c>
      <c r="M317" t="n">
        <v>0</v>
      </c>
      <c r="N317" t="n">
        <v>0</v>
      </c>
      <c r="O317" t="n">
        <v>1</v>
      </c>
      <c r="P317" t="n">
        <v>0</v>
      </c>
      <c r="Q317" t="n">
        <v>1</v>
      </c>
      <c r="R317" s="2" t="inlineStr">
        <is>
          <t>Talltita</t>
        </is>
      </c>
      <c r="S317">
        <f>HYPERLINK("https://klasma.github.io/Logging_1273/artfynd/A 36266-2025 artfynd.xlsx", "A 36266-2025")</f>
        <v/>
      </c>
      <c r="T317">
        <f>HYPERLINK("https://klasma.github.io/Logging_1273/kartor/A 36266-2025 karta.png", "A 36266-2025")</f>
        <v/>
      </c>
      <c r="V317">
        <f>HYPERLINK("https://klasma.github.io/Logging_1273/klagomål/A 36266-2025 FSC-klagomål.docx", "A 36266-2025")</f>
        <v/>
      </c>
      <c r="W317">
        <f>HYPERLINK("https://klasma.github.io/Logging_1273/klagomålsmail/A 36266-2025 FSC-klagomål mail.docx", "A 36266-2025")</f>
        <v/>
      </c>
      <c r="X317">
        <f>HYPERLINK("https://klasma.github.io/Logging_1273/tillsyn/A 36266-2025 tillsynsbegäran.docx", "A 36266-2025")</f>
        <v/>
      </c>
      <c r="Y317">
        <f>HYPERLINK("https://klasma.github.io/Logging_1273/tillsynsmail/A 36266-2025 tillsynsbegäran mail.docx", "A 36266-2025")</f>
        <v/>
      </c>
      <c r="Z317">
        <f>HYPERLINK("https://klasma.github.io/Logging_1273/fåglar/A 36266-2025 prioriterade fågelarter.docx", "A 36266-2025")</f>
        <v/>
      </c>
    </row>
    <row r="318" ht="15" customHeight="1">
      <c r="A318" t="inlineStr">
        <is>
          <t>A 49572-2022</t>
        </is>
      </c>
      <c r="B318" s="1" t="n">
        <v>44862.335</v>
      </c>
      <c r="C318" s="1" t="n">
        <v>45962</v>
      </c>
      <c r="D318" t="inlineStr">
        <is>
          <t>SKÅNE LÄN</t>
        </is>
      </c>
      <c r="E318" t="inlineStr">
        <is>
          <t>HÄSSLEHOLM</t>
        </is>
      </c>
      <c r="G318" t="n">
        <v>1.4</v>
      </c>
      <c r="H318" t="n">
        <v>0</v>
      </c>
      <c r="I318" t="n">
        <v>1</v>
      </c>
      <c r="J318" t="n">
        <v>0</v>
      </c>
      <c r="K318" t="n">
        <v>0</v>
      </c>
      <c r="L318" t="n">
        <v>0</v>
      </c>
      <c r="M318" t="n">
        <v>0</v>
      </c>
      <c r="N318" t="n">
        <v>0</v>
      </c>
      <c r="O318" t="n">
        <v>0</v>
      </c>
      <c r="P318" t="n">
        <v>0</v>
      </c>
      <c r="Q318" t="n">
        <v>1</v>
      </c>
      <c r="R318" s="2" t="inlineStr">
        <is>
          <t>Blåmossa</t>
        </is>
      </c>
      <c r="S318">
        <f>HYPERLINK("https://klasma.github.io/Logging_1293/artfynd/A 49572-2022 artfynd.xlsx", "A 49572-2022")</f>
        <v/>
      </c>
      <c r="T318">
        <f>HYPERLINK("https://klasma.github.io/Logging_1293/kartor/A 49572-2022 karta.png", "A 49572-2022")</f>
        <v/>
      </c>
      <c r="V318">
        <f>HYPERLINK("https://klasma.github.io/Logging_1293/klagomål/A 49572-2022 FSC-klagomål.docx", "A 49572-2022")</f>
        <v/>
      </c>
      <c r="W318">
        <f>HYPERLINK("https://klasma.github.io/Logging_1293/klagomålsmail/A 49572-2022 FSC-klagomål mail.docx", "A 49572-2022")</f>
        <v/>
      </c>
      <c r="X318">
        <f>HYPERLINK("https://klasma.github.io/Logging_1293/tillsyn/A 49572-2022 tillsynsbegäran.docx", "A 49572-2022")</f>
        <v/>
      </c>
      <c r="Y318">
        <f>HYPERLINK("https://klasma.github.io/Logging_1293/tillsynsmail/A 49572-2022 tillsynsbegäran mail.docx", "A 49572-2022")</f>
        <v/>
      </c>
    </row>
    <row r="319" ht="15" customHeight="1">
      <c r="A319" t="inlineStr">
        <is>
          <t>A 38752-2025</t>
        </is>
      </c>
      <c r="B319" s="1" t="n">
        <v>45887.39311342593</v>
      </c>
      <c r="C319" s="1" t="n">
        <v>45962</v>
      </c>
      <c r="D319" t="inlineStr">
        <is>
          <t>SKÅNE LÄN</t>
        </is>
      </c>
      <c r="E319" t="inlineStr">
        <is>
          <t>ÄNGELHOLM</t>
        </is>
      </c>
      <c r="G319" t="n">
        <v>3.4</v>
      </c>
      <c r="H319" t="n">
        <v>0</v>
      </c>
      <c r="I319" t="n">
        <v>0</v>
      </c>
      <c r="J319" t="n">
        <v>1</v>
      </c>
      <c r="K319" t="n">
        <v>0</v>
      </c>
      <c r="L319" t="n">
        <v>0</v>
      </c>
      <c r="M319" t="n">
        <v>0</v>
      </c>
      <c r="N319" t="n">
        <v>0</v>
      </c>
      <c r="O319" t="n">
        <v>1</v>
      </c>
      <c r="P319" t="n">
        <v>0</v>
      </c>
      <c r="Q319" t="n">
        <v>1</v>
      </c>
      <c r="R319" s="2" t="inlineStr">
        <is>
          <t>Slåtterfibbla</t>
        </is>
      </c>
      <c r="S319">
        <f>HYPERLINK("https://klasma.github.io/Logging_1292/artfynd/A 38752-2025 artfynd.xlsx", "A 38752-2025")</f>
        <v/>
      </c>
      <c r="T319">
        <f>HYPERLINK("https://klasma.github.io/Logging_1292/kartor/A 38752-2025 karta.png", "A 38752-2025")</f>
        <v/>
      </c>
      <c r="V319">
        <f>HYPERLINK("https://klasma.github.io/Logging_1292/klagomål/A 38752-2025 FSC-klagomål.docx", "A 38752-2025")</f>
        <v/>
      </c>
      <c r="W319">
        <f>HYPERLINK("https://klasma.github.io/Logging_1292/klagomålsmail/A 38752-2025 FSC-klagomål mail.docx", "A 38752-2025")</f>
        <v/>
      </c>
      <c r="X319">
        <f>HYPERLINK("https://klasma.github.io/Logging_1292/tillsyn/A 38752-2025 tillsynsbegäran.docx", "A 38752-2025")</f>
        <v/>
      </c>
      <c r="Y319">
        <f>HYPERLINK("https://klasma.github.io/Logging_1292/tillsynsmail/A 38752-2025 tillsynsbegäran mail.docx", "A 38752-2025")</f>
        <v/>
      </c>
    </row>
    <row r="320" ht="15" customHeight="1">
      <c r="A320" t="inlineStr">
        <is>
          <t>A 24802-2025</t>
        </is>
      </c>
      <c r="B320" s="1" t="n">
        <v>45799</v>
      </c>
      <c r="C320" s="1" t="n">
        <v>45962</v>
      </c>
      <c r="D320" t="inlineStr">
        <is>
          <t>SKÅNE LÄN</t>
        </is>
      </c>
      <c r="E320" t="inlineStr">
        <is>
          <t>ESLÖV</t>
        </is>
      </c>
      <c r="G320" t="n">
        <v>2.4</v>
      </c>
      <c r="H320" t="n">
        <v>1</v>
      </c>
      <c r="I320" t="n">
        <v>0</v>
      </c>
      <c r="J320" t="n">
        <v>1</v>
      </c>
      <c r="K320" t="n">
        <v>0</v>
      </c>
      <c r="L320" t="n">
        <v>0</v>
      </c>
      <c r="M320" t="n">
        <v>0</v>
      </c>
      <c r="N320" t="n">
        <v>0</v>
      </c>
      <c r="O320" t="n">
        <v>1</v>
      </c>
      <c r="P320" t="n">
        <v>0</v>
      </c>
      <c r="Q320" t="n">
        <v>1</v>
      </c>
      <c r="R320" s="2" t="inlineStr">
        <is>
          <t>Talltita</t>
        </is>
      </c>
      <c r="S320">
        <f>HYPERLINK("https://klasma.github.io/Logging_1285/artfynd/A 24802-2025 artfynd.xlsx", "A 24802-2025")</f>
        <v/>
      </c>
      <c r="T320">
        <f>HYPERLINK("https://klasma.github.io/Logging_1285/kartor/A 24802-2025 karta.png", "A 24802-2025")</f>
        <v/>
      </c>
      <c r="V320">
        <f>HYPERLINK("https://klasma.github.io/Logging_1285/klagomål/A 24802-2025 FSC-klagomål.docx", "A 24802-2025")</f>
        <v/>
      </c>
      <c r="W320">
        <f>HYPERLINK("https://klasma.github.io/Logging_1285/klagomålsmail/A 24802-2025 FSC-klagomål mail.docx", "A 24802-2025")</f>
        <v/>
      </c>
      <c r="X320">
        <f>HYPERLINK("https://klasma.github.io/Logging_1285/tillsyn/A 24802-2025 tillsynsbegäran.docx", "A 24802-2025")</f>
        <v/>
      </c>
      <c r="Y320">
        <f>HYPERLINK("https://klasma.github.io/Logging_1285/tillsynsmail/A 24802-2025 tillsynsbegäran mail.docx", "A 24802-2025")</f>
        <v/>
      </c>
      <c r="Z320">
        <f>HYPERLINK("https://klasma.github.io/Logging_1285/fåglar/A 24802-2025 prioriterade fågelarter.docx", "A 24802-2025")</f>
        <v/>
      </c>
    </row>
    <row r="321" ht="15" customHeight="1">
      <c r="A321" t="inlineStr">
        <is>
          <t>A 39260-2025</t>
        </is>
      </c>
      <c r="B321" s="1" t="n">
        <v>45889.37043981482</v>
      </c>
      <c r="C321" s="1" t="n">
        <v>45962</v>
      </c>
      <c r="D321" t="inlineStr">
        <is>
          <t>SKÅNE LÄN</t>
        </is>
      </c>
      <c r="E321" t="inlineStr">
        <is>
          <t>LUND</t>
        </is>
      </c>
      <c r="G321" t="n">
        <v>7.6</v>
      </c>
      <c r="H321" t="n">
        <v>1</v>
      </c>
      <c r="I321" t="n">
        <v>0</v>
      </c>
      <c r="J321" t="n">
        <v>0</v>
      </c>
      <c r="K321" t="n">
        <v>0</v>
      </c>
      <c r="L321" t="n">
        <v>0</v>
      </c>
      <c r="M321" t="n">
        <v>0</v>
      </c>
      <c r="N321" t="n">
        <v>0</v>
      </c>
      <c r="O321" t="n">
        <v>0</v>
      </c>
      <c r="P321" t="n">
        <v>0</v>
      </c>
      <c r="Q321" t="n">
        <v>1</v>
      </c>
      <c r="R321" s="2" t="inlineStr">
        <is>
          <t>Skogsödla</t>
        </is>
      </c>
      <c r="S321">
        <f>HYPERLINK("https://klasma.github.io/Logging_1281/artfynd/A 39260-2025 artfynd.xlsx", "A 39260-2025")</f>
        <v/>
      </c>
      <c r="T321">
        <f>HYPERLINK("https://klasma.github.io/Logging_1281/kartor/A 39260-2025 karta.png", "A 39260-2025")</f>
        <v/>
      </c>
      <c r="V321">
        <f>HYPERLINK("https://klasma.github.io/Logging_1281/klagomål/A 39260-2025 FSC-klagomål.docx", "A 39260-2025")</f>
        <v/>
      </c>
      <c r="W321">
        <f>HYPERLINK("https://klasma.github.io/Logging_1281/klagomålsmail/A 39260-2025 FSC-klagomål mail.docx", "A 39260-2025")</f>
        <v/>
      </c>
      <c r="X321">
        <f>HYPERLINK("https://klasma.github.io/Logging_1281/tillsyn/A 39260-2025 tillsynsbegäran.docx", "A 39260-2025")</f>
        <v/>
      </c>
      <c r="Y321">
        <f>HYPERLINK("https://klasma.github.io/Logging_1281/tillsynsmail/A 39260-2025 tillsynsbegäran mail.docx", "A 39260-2025")</f>
        <v/>
      </c>
    </row>
    <row r="322" ht="15" customHeight="1">
      <c r="A322" t="inlineStr">
        <is>
          <t>A 47317-2025</t>
        </is>
      </c>
      <c r="B322" s="1" t="n">
        <v>45930</v>
      </c>
      <c r="C322" s="1" t="n">
        <v>45962</v>
      </c>
      <c r="D322" t="inlineStr">
        <is>
          <t>SKÅNE LÄN</t>
        </is>
      </c>
      <c r="E322" t="inlineStr">
        <is>
          <t>KRISTIANSTAD</t>
        </is>
      </c>
      <c r="G322" t="n">
        <v>10</v>
      </c>
      <c r="H322" t="n">
        <v>0</v>
      </c>
      <c r="I322" t="n">
        <v>0</v>
      </c>
      <c r="J322" t="n">
        <v>0</v>
      </c>
      <c r="K322" t="n">
        <v>1</v>
      </c>
      <c r="L322" t="n">
        <v>0</v>
      </c>
      <c r="M322" t="n">
        <v>0</v>
      </c>
      <c r="N322" t="n">
        <v>0</v>
      </c>
      <c r="O322" t="n">
        <v>1</v>
      </c>
      <c r="P322" t="n">
        <v>1</v>
      </c>
      <c r="Q322" t="n">
        <v>1</v>
      </c>
      <c r="R322" s="2" t="inlineStr">
        <is>
          <t>Lungrot</t>
        </is>
      </c>
      <c r="S322">
        <f>HYPERLINK("https://klasma.github.io/Logging_1290/artfynd/A 47317-2025 artfynd.xlsx", "A 47317-2025")</f>
        <v/>
      </c>
      <c r="T322">
        <f>HYPERLINK("https://klasma.github.io/Logging_1290/kartor/A 47317-2025 karta.png", "A 47317-2025")</f>
        <v/>
      </c>
      <c r="V322">
        <f>HYPERLINK("https://klasma.github.io/Logging_1290/klagomål/A 47317-2025 FSC-klagomål.docx", "A 47317-2025")</f>
        <v/>
      </c>
      <c r="W322">
        <f>HYPERLINK("https://klasma.github.io/Logging_1290/klagomålsmail/A 47317-2025 FSC-klagomål mail.docx", "A 47317-2025")</f>
        <v/>
      </c>
      <c r="X322">
        <f>HYPERLINK("https://klasma.github.io/Logging_1290/tillsyn/A 47317-2025 tillsynsbegäran.docx", "A 47317-2025")</f>
        <v/>
      </c>
      <c r="Y322">
        <f>HYPERLINK("https://klasma.github.io/Logging_1290/tillsynsmail/A 47317-2025 tillsynsbegäran mail.docx", "A 47317-2025")</f>
        <v/>
      </c>
    </row>
    <row r="323" ht="15" customHeight="1">
      <c r="A323" t="inlineStr">
        <is>
          <t>A 61558-2023</t>
        </is>
      </c>
      <c r="B323" s="1" t="n">
        <v>45265</v>
      </c>
      <c r="C323" s="1" t="n">
        <v>45962</v>
      </c>
      <c r="D323" t="inlineStr">
        <is>
          <t>SKÅNE LÄN</t>
        </is>
      </c>
      <c r="E323" t="inlineStr">
        <is>
          <t>YSTAD</t>
        </is>
      </c>
      <c r="F323" t="inlineStr">
        <is>
          <t>Övriga statliga verk och myndigheter</t>
        </is>
      </c>
      <c r="G323" t="n">
        <v>1.5</v>
      </c>
      <c r="H323" t="n">
        <v>0</v>
      </c>
      <c r="I323" t="n">
        <v>0</v>
      </c>
      <c r="J323" t="n">
        <v>0</v>
      </c>
      <c r="K323" t="n">
        <v>0</v>
      </c>
      <c r="L323" t="n">
        <v>1</v>
      </c>
      <c r="M323" t="n">
        <v>0</v>
      </c>
      <c r="N323" t="n">
        <v>0</v>
      </c>
      <c r="O323" t="n">
        <v>1</v>
      </c>
      <c r="P323" t="n">
        <v>1</v>
      </c>
      <c r="Q323" t="n">
        <v>1</v>
      </c>
      <c r="R323" s="2" t="inlineStr">
        <is>
          <t>Ask</t>
        </is>
      </c>
      <c r="S323">
        <f>HYPERLINK("https://klasma.github.io/Logging_1286/artfynd/A 61558-2023 artfynd.xlsx", "A 61558-2023")</f>
        <v/>
      </c>
      <c r="T323">
        <f>HYPERLINK("https://klasma.github.io/Logging_1286/kartor/A 61558-2023 karta.png", "A 61558-2023")</f>
        <v/>
      </c>
      <c r="V323">
        <f>HYPERLINK("https://klasma.github.io/Logging_1286/klagomål/A 61558-2023 FSC-klagomål.docx", "A 61558-2023")</f>
        <v/>
      </c>
      <c r="W323">
        <f>HYPERLINK("https://klasma.github.io/Logging_1286/klagomålsmail/A 61558-2023 FSC-klagomål mail.docx", "A 61558-2023")</f>
        <v/>
      </c>
      <c r="X323">
        <f>HYPERLINK("https://klasma.github.io/Logging_1286/tillsyn/A 61558-2023 tillsynsbegäran.docx", "A 61558-2023")</f>
        <v/>
      </c>
      <c r="Y323">
        <f>HYPERLINK("https://klasma.github.io/Logging_1286/tillsynsmail/A 61558-2023 tillsynsbegäran mail.docx", "A 61558-2023")</f>
        <v/>
      </c>
    </row>
    <row r="324" ht="15" customHeight="1">
      <c r="A324" t="inlineStr">
        <is>
          <t>A 11720-2025</t>
        </is>
      </c>
      <c r="B324" s="1" t="n">
        <v>45727</v>
      </c>
      <c r="C324" s="1" t="n">
        <v>45962</v>
      </c>
      <c r="D324" t="inlineStr">
        <is>
          <t>SKÅNE LÄN</t>
        </is>
      </c>
      <c r="E324" t="inlineStr">
        <is>
          <t>KRISTIANSTAD</t>
        </is>
      </c>
      <c r="G324" t="n">
        <v>3.1</v>
      </c>
      <c r="H324" t="n">
        <v>0</v>
      </c>
      <c r="I324" t="n">
        <v>1</v>
      </c>
      <c r="J324" t="n">
        <v>0</v>
      </c>
      <c r="K324" t="n">
        <v>0</v>
      </c>
      <c r="L324" t="n">
        <v>0</v>
      </c>
      <c r="M324" t="n">
        <v>0</v>
      </c>
      <c r="N324" t="n">
        <v>0</v>
      </c>
      <c r="O324" t="n">
        <v>0</v>
      </c>
      <c r="P324" t="n">
        <v>0</v>
      </c>
      <c r="Q324" t="n">
        <v>1</v>
      </c>
      <c r="R324" s="2" t="inlineStr">
        <is>
          <t>Igelkottsröksvamp</t>
        </is>
      </c>
      <c r="S324">
        <f>HYPERLINK("https://klasma.github.io/Logging_1290/artfynd/A 11720-2025 artfynd.xlsx", "A 11720-2025")</f>
        <v/>
      </c>
      <c r="T324">
        <f>HYPERLINK("https://klasma.github.io/Logging_1290/kartor/A 11720-2025 karta.png", "A 11720-2025")</f>
        <v/>
      </c>
      <c r="V324">
        <f>HYPERLINK("https://klasma.github.io/Logging_1290/klagomål/A 11720-2025 FSC-klagomål.docx", "A 11720-2025")</f>
        <v/>
      </c>
      <c r="W324">
        <f>HYPERLINK("https://klasma.github.io/Logging_1290/klagomålsmail/A 11720-2025 FSC-klagomål mail.docx", "A 11720-2025")</f>
        <v/>
      </c>
      <c r="X324">
        <f>HYPERLINK("https://klasma.github.io/Logging_1290/tillsyn/A 11720-2025 tillsynsbegäran.docx", "A 11720-2025")</f>
        <v/>
      </c>
      <c r="Y324">
        <f>HYPERLINK("https://klasma.github.io/Logging_1290/tillsynsmail/A 11720-2025 tillsynsbegäran mail.docx", "A 11720-2025")</f>
        <v/>
      </c>
    </row>
    <row r="325" ht="15" customHeight="1">
      <c r="A325" t="inlineStr">
        <is>
          <t>A 36690-2025</t>
        </is>
      </c>
      <c r="B325" s="1" t="n">
        <v>45873.42915509259</v>
      </c>
      <c r="C325" s="1" t="n">
        <v>45962</v>
      </c>
      <c r="D325" t="inlineStr">
        <is>
          <t>SKÅNE LÄN</t>
        </is>
      </c>
      <c r="E325" t="inlineStr">
        <is>
          <t>HÄSSLEHOLM</t>
        </is>
      </c>
      <c r="G325" t="n">
        <v>3.6</v>
      </c>
      <c r="H325" t="n">
        <v>0</v>
      </c>
      <c r="I325" t="n">
        <v>0</v>
      </c>
      <c r="J325" t="n">
        <v>0</v>
      </c>
      <c r="K325" t="n">
        <v>0</v>
      </c>
      <c r="L325" t="n">
        <v>1</v>
      </c>
      <c r="M325" t="n">
        <v>0</v>
      </c>
      <c r="N325" t="n">
        <v>0</v>
      </c>
      <c r="O325" t="n">
        <v>1</v>
      </c>
      <c r="P325" t="n">
        <v>1</v>
      </c>
      <c r="Q325" t="n">
        <v>1</v>
      </c>
      <c r="R325" s="2" t="inlineStr">
        <is>
          <t>Ask</t>
        </is>
      </c>
      <c r="S325">
        <f>HYPERLINK("https://klasma.github.io/Logging_1293/artfynd/A 36690-2025 artfynd.xlsx", "A 36690-2025")</f>
        <v/>
      </c>
      <c r="T325">
        <f>HYPERLINK("https://klasma.github.io/Logging_1293/kartor/A 36690-2025 karta.png", "A 36690-2025")</f>
        <v/>
      </c>
      <c r="V325">
        <f>HYPERLINK("https://klasma.github.io/Logging_1293/klagomål/A 36690-2025 FSC-klagomål.docx", "A 36690-2025")</f>
        <v/>
      </c>
      <c r="W325">
        <f>HYPERLINK("https://klasma.github.io/Logging_1293/klagomålsmail/A 36690-2025 FSC-klagomål mail.docx", "A 36690-2025")</f>
        <v/>
      </c>
      <c r="X325">
        <f>HYPERLINK("https://klasma.github.io/Logging_1293/tillsyn/A 36690-2025 tillsynsbegäran.docx", "A 36690-2025")</f>
        <v/>
      </c>
      <c r="Y325">
        <f>HYPERLINK("https://klasma.github.io/Logging_1293/tillsynsmail/A 36690-2025 tillsynsbegäran mail.docx", "A 36690-2025")</f>
        <v/>
      </c>
    </row>
    <row r="326" ht="15" customHeight="1">
      <c r="A326" t="inlineStr">
        <is>
          <t>A 46870-2023</t>
        </is>
      </c>
      <c r="B326" s="1" t="n">
        <v>45200.76865740741</v>
      </c>
      <c r="C326" s="1" t="n">
        <v>45962</v>
      </c>
      <c r="D326" t="inlineStr">
        <is>
          <t>SKÅNE LÄN</t>
        </is>
      </c>
      <c r="E326" t="inlineStr">
        <is>
          <t>KRISTIANSTAD</t>
        </is>
      </c>
      <c r="G326" t="n">
        <v>2.3</v>
      </c>
      <c r="H326" t="n">
        <v>0</v>
      </c>
      <c r="I326" t="n">
        <v>0</v>
      </c>
      <c r="J326" t="n">
        <v>1</v>
      </c>
      <c r="K326" t="n">
        <v>0</v>
      </c>
      <c r="L326" t="n">
        <v>0</v>
      </c>
      <c r="M326" t="n">
        <v>0</v>
      </c>
      <c r="N326" t="n">
        <v>0</v>
      </c>
      <c r="O326" t="n">
        <v>1</v>
      </c>
      <c r="P326" t="n">
        <v>0</v>
      </c>
      <c r="Q326" t="n">
        <v>1</v>
      </c>
      <c r="R326" s="2" t="inlineStr">
        <is>
          <t>Klasefibbla</t>
        </is>
      </c>
      <c r="S326">
        <f>HYPERLINK("https://klasma.github.io/Logging_1290/artfynd/A 46870-2023 artfynd.xlsx", "A 46870-2023")</f>
        <v/>
      </c>
      <c r="T326">
        <f>HYPERLINK("https://klasma.github.io/Logging_1290/kartor/A 46870-2023 karta.png", "A 46870-2023")</f>
        <v/>
      </c>
      <c r="V326">
        <f>HYPERLINK("https://klasma.github.io/Logging_1290/klagomål/A 46870-2023 FSC-klagomål.docx", "A 46870-2023")</f>
        <v/>
      </c>
      <c r="W326">
        <f>HYPERLINK("https://klasma.github.io/Logging_1290/klagomålsmail/A 46870-2023 FSC-klagomål mail.docx", "A 46870-2023")</f>
        <v/>
      </c>
      <c r="X326">
        <f>HYPERLINK("https://klasma.github.io/Logging_1290/tillsyn/A 46870-2023 tillsynsbegäran.docx", "A 46870-2023")</f>
        <v/>
      </c>
      <c r="Y326">
        <f>HYPERLINK("https://klasma.github.io/Logging_1290/tillsynsmail/A 46870-2023 tillsynsbegäran mail.docx", "A 46870-2023")</f>
        <v/>
      </c>
    </row>
    <row r="327" ht="15" customHeight="1">
      <c r="A327" t="inlineStr">
        <is>
          <t>A 31213-2023</t>
        </is>
      </c>
      <c r="B327" s="1" t="n">
        <v>45113</v>
      </c>
      <c r="C327" s="1" t="n">
        <v>45962</v>
      </c>
      <c r="D327" t="inlineStr">
        <is>
          <t>SKÅNE LÄN</t>
        </is>
      </c>
      <c r="E327" t="inlineStr">
        <is>
          <t>YSTAD</t>
        </is>
      </c>
      <c r="G327" t="n">
        <v>6.5</v>
      </c>
      <c r="H327" t="n">
        <v>0</v>
      </c>
      <c r="I327" t="n">
        <v>0</v>
      </c>
      <c r="J327" t="n">
        <v>1</v>
      </c>
      <c r="K327" t="n">
        <v>0</v>
      </c>
      <c r="L327" t="n">
        <v>0</v>
      </c>
      <c r="M327" t="n">
        <v>0</v>
      </c>
      <c r="N327" t="n">
        <v>0</v>
      </c>
      <c r="O327" t="n">
        <v>1</v>
      </c>
      <c r="P327" t="n">
        <v>0</v>
      </c>
      <c r="Q327" t="n">
        <v>1</v>
      </c>
      <c r="R327" s="2" t="inlineStr">
        <is>
          <t>Skogsveronika</t>
        </is>
      </c>
      <c r="S327">
        <f>HYPERLINK("https://klasma.github.io/Logging_1286/artfynd/A 31213-2023 artfynd.xlsx", "A 31213-2023")</f>
        <v/>
      </c>
      <c r="T327">
        <f>HYPERLINK("https://klasma.github.io/Logging_1286/kartor/A 31213-2023 karta.png", "A 31213-2023")</f>
        <v/>
      </c>
      <c r="V327">
        <f>HYPERLINK("https://klasma.github.io/Logging_1286/klagomål/A 31213-2023 FSC-klagomål.docx", "A 31213-2023")</f>
        <v/>
      </c>
      <c r="W327">
        <f>HYPERLINK("https://klasma.github.io/Logging_1286/klagomålsmail/A 31213-2023 FSC-klagomål mail.docx", "A 31213-2023")</f>
        <v/>
      </c>
      <c r="X327">
        <f>HYPERLINK("https://klasma.github.io/Logging_1286/tillsyn/A 31213-2023 tillsynsbegäran.docx", "A 31213-2023")</f>
        <v/>
      </c>
      <c r="Y327">
        <f>HYPERLINK("https://klasma.github.io/Logging_1286/tillsynsmail/A 31213-2023 tillsynsbegäran mail.docx", "A 31213-2023")</f>
        <v/>
      </c>
    </row>
    <row r="328" ht="15" customHeight="1">
      <c r="A328" t="inlineStr">
        <is>
          <t>A 47308-2025</t>
        </is>
      </c>
      <c r="B328" s="1" t="n">
        <v>45930</v>
      </c>
      <c r="C328" s="1" t="n">
        <v>45962</v>
      </c>
      <c r="D328" t="inlineStr">
        <is>
          <t>SKÅNE LÄN</t>
        </is>
      </c>
      <c r="E328" t="inlineStr">
        <is>
          <t>KRISTIANSTAD</t>
        </is>
      </c>
      <c r="G328" t="n">
        <v>3</v>
      </c>
      <c r="H328" t="n">
        <v>1</v>
      </c>
      <c r="I328" t="n">
        <v>0</v>
      </c>
      <c r="J328" t="n">
        <v>0</v>
      </c>
      <c r="K328" t="n">
        <v>0</v>
      </c>
      <c r="L328" t="n">
        <v>1</v>
      </c>
      <c r="M328" t="n">
        <v>0</v>
      </c>
      <c r="N328" t="n">
        <v>0</v>
      </c>
      <c r="O328" t="n">
        <v>1</v>
      </c>
      <c r="P328" t="n">
        <v>1</v>
      </c>
      <c r="Q328" t="n">
        <v>1</v>
      </c>
      <c r="R328" s="2" t="inlineStr">
        <is>
          <t>Dvärgjohannesört</t>
        </is>
      </c>
      <c r="S328">
        <f>HYPERLINK("https://klasma.github.io/Logging_1290/artfynd/A 47308-2025 artfynd.xlsx", "A 47308-2025")</f>
        <v/>
      </c>
      <c r="T328">
        <f>HYPERLINK("https://klasma.github.io/Logging_1290/kartor/A 47308-2025 karta.png", "A 47308-2025")</f>
        <v/>
      </c>
      <c r="V328">
        <f>HYPERLINK("https://klasma.github.io/Logging_1290/klagomål/A 47308-2025 FSC-klagomål.docx", "A 47308-2025")</f>
        <v/>
      </c>
      <c r="W328">
        <f>HYPERLINK("https://klasma.github.io/Logging_1290/klagomålsmail/A 47308-2025 FSC-klagomål mail.docx", "A 47308-2025")</f>
        <v/>
      </c>
      <c r="X328">
        <f>HYPERLINK("https://klasma.github.io/Logging_1290/tillsyn/A 47308-2025 tillsynsbegäran.docx", "A 47308-2025")</f>
        <v/>
      </c>
      <c r="Y328">
        <f>HYPERLINK("https://klasma.github.io/Logging_1290/tillsynsmail/A 47308-2025 tillsynsbegäran mail.docx", "A 47308-2025")</f>
        <v/>
      </c>
    </row>
    <row r="329" ht="15" customHeight="1">
      <c r="A329" t="inlineStr">
        <is>
          <t>A 55145-2023</t>
        </is>
      </c>
      <c r="B329" s="1" t="n">
        <v>45237</v>
      </c>
      <c r="C329" s="1" t="n">
        <v>45962</v>
      </c>
      <c r="D329" t="inlineStr">
        <is>
          <t>SKÅNE LÄN</t>
        </is>
      </c>
      <c r="E329" t="inlineStr">
        <is>
          <t>LUND</t>
        </is>
      </c>
      <c r="F329" t="inlineStr">
        <is>
          <t>Kommuner</t>
        </is>
      </c>
      <c r="G329" t="n">
        <v>4.5</v>
      </c>
      <c r="H329" t="n">
        <v>0</v>
      </c>
      <c r="I329" t="n">
        <v>1</v>
      </c>
      <c r="J329" t="n">
        <v>0</v>
      </c>
      <c r="K329" t="n">
        <v>0</v>
      </c>
      <c r="L329" t="n">
        <v>0</v>
      </c>
      <c r="M329" t="n">
        <v>0</v>
      </c>
      <c r="N329" t="n">
        <v>0</v>
      </c>
      <c r="O329" t="n">
        <v>0</v>
      </c>
      <c r="P329" t="n">
        <v>0</v>
      </c>
      <c r="Q329" t="n">
        <v>1</v>
      </c>
      <c r="R329" s="2" t="inlineStr">
        <is>
          <t>Grovticka</t>
        </is>
      </c>
      <c r="S329">
        <f>HYPERLINK("https://klasma.github.io/Logging_1281/artfynd/A 55145-2023 artfynd.xlsx", "A 55145-2023")</f>
        <v/>
      </c>
      <c r="T329">
        <f>HYPERLINK("https://klasma.github.io/Logging_1281/kartor/A 55145-2023 karta.png", "A 55145-2023")</f>
        <v/>
      </c>
      <c r="V329">
        <f>HYPERLINK("https://klasma.github.io/Logging_1281/klagomål/A 55145-2023 FSC-klagomål.docx", "A 55145-2023")</f>
        <v/>
      </c>
      <c r="W329">
        <f>HYPERLINK("https://klasma.github.io/Logging_1281/klagomålsmail/A 55145-2023 FSC-klagomål mail.docx", "A 55145-2023")</f>
        <v/>
      </c>
      <c r="X329">
        <f>HYPERLINK("https://klasma.github.io/Logging_1281/tillsyn/A 55145-2023 tillsynsbegäran.docx", "A 55145-2023")</f>
        <v/>
      </c>
      <c r="Y329">
        <f>HYPERLINK("https://klasma.github.io/Logging_1281/tillsynsmail/A 55145-2023 tillsynsbegäran mail.docx", "A 55145-2023")</f>
        <v/>
      </c>
    </row>
    <row r="330" ht="15" customHeight="1">
      <c r="A330" t="inlineStr">
        <is>
          <t>A 756-2024</t>
        </is>
      </c>
      <c r="B330" s="1" t="n">
        <v>45300</v>
      </c>
      <c r="C330" s="1" t="n">
        <v>45962</v>
      </c>
      <c r="D330" t="inlineStr">
        <is>
          <t>SKÅNE LÄN</t>
        </is>
      </c>
      <c r="E330" t="inlineStr">
        <is>
          <t>TOMELILLA</t>
        </is>
      </c>
      <c r="F330" t="inlineStr">
        <is>
          <t>Övriga Aktiebolag</t>
        </is>
      </c>
      <c r="G330" t="n">
        <v>13.1</v>
      </c>
      <c r="H330" t="n">
        <v>0</v>
      </c>
      <c r="I330" t="n">
        <v>0</v>
      </c>
      <c r="J330" t="n">
        <v>1</v>
      </c>
      <c r="K330" t="n">
        <v>0</v>
      </c>
      <c r="L330" t="n">
        <v>0</v>
      </c>
      <c r="M330" t="n">
        <v>0</v>
      </c>
      <c r="N330" t="n">
        <v>0</v>
      </c>
      <c r="O330" t="n">
        <v>1</v>
      </c>
      <c r="P330" t="n">
        <v>0</v>
      </c>
      <c r="Q330" t="n">
        <v>1</v>
      </c>
      <c r="R330" s="2" t="inlineStr">
        <is>
          <t>Borsttåg</t>
        </is>
      </c>
      <c r="S330">
        <f>HYPERLINK("https://klasma.github.io/Logging_1270/artfynd/A 756-2024 artfynd.xlsx", "A 756-2024")</f>
        <v/>
      </c>
      <c r="T330">
        <f>HYPERLINK("https://klasma.github.io/Logging_1270/kartor/A 756-2024 karta.png", "A 756-2024")</f>
        <v/>
      </c>
      <c r="V330">
        <f>HYPERLINK("https://klasma.github.io/Logging_1270/klagomål/A 756-2024 FSC-klagomål.docx", "A 756-2024")</f>
        <v/>
      </c>
      <c r="W330">
        <f>HYPERLINK("https://klasma.github.io/Logging_1270/klagomålsmail/A 756-2024 FSC-klagomål mail.docx", "A 756-2024")</f>
        <v/>
      </c>
      <c r="X330">
        <f>HYPERLINK("https://klasma.github.io/Logging_1270/tillsyn/A 756-2024 tillsynsbegäran.docx", "A 756-2024")</f>
        <v/>
      </c>
      <c r="Y330">
        <f>HYPERLINK("https://klasma.github.io/Logging_1270/tillsynsmail/A 756-2024 tillsynsbegäran mail.docx", "A 756-2024")</f>
        <v/>
      </c>
    </row>
    <row r="331" ht="15" customHeight="1">
      <c r="A331" t="inlineStr">
        <is>
          <t>A 45550-2025</t>
        </is>
      </c>
      <c r="B331" s="1" t="n">
        <v>45922.63372685185</v>
      </c>
      <c r="C331" s="1" t="n">
        <v>45962</v>
      </c>
      <c r="D331" t="inlineStr">
        <is>
          <t>SKÅNE LÄN</t>
        </is>
      </c>
      <c r="E331" t="inlineStr">
        <is>
          <t>HÖÖR</t>
        </is>
      </c>
      <c r="G331" t="n">
        <v>4.7</v>
      </c>
      <c r="H331" t="n">
        <v>0</v>
      </c>
      <c r="I331" t="n">
        <v>0</v>
      </c>
      <c r="J331" t="n">
        <v>0</v>
      </c>
      <c r="K331" t="n">
        <v>1</v>
      </c>
      <c r="L331" t="n">
        <v>0</v>
      </c>
      <c r="M331" t="n">
        <v>0</v>
      </c>
      <c r="N331" t="n">
        <v>0</v>
      </c>
      <c r="O331" t="n">
        <v>1</v>
      </c>
      <c r="P331" t="n">
        <v>1</v>
      </c>
      <c r="Q331" t="n">
        <v>1</v>
      </c>
      <c r="R331" s="2" t="inlineStr">
        <is>
          <t>Småvänderot</t>
        </is>
      </c>
      <c r="S331">
        <f>HYPERLINK("https://klasma.github.io/Logging_1267/artfynd/A 45550-2025 artfynd.xlsx", "A 45550-2025")</f>
        <v/>
      </c>
      <c r="T331">
        <f>HYPERLINK("https://klasma.github.io/Logging_1267/kartor/A 45550-2025 karta.png", "A 45550-2025")</f>
        <v/>
      </c>
      <c r="V331">
        <f>HYPERLINK("https://klasma.github.io/Logging_1267/klagomål/A 45550-2025 FSC-klagomål.docx", "A 45550-2025")</f>
        <v/>
      </c>
      <c r="W331">
        <f>HYPERLINK("https://klasma.github.io/Logging_1267/klagomålsmail/A 45550-2025 FSC-klagomål mail.docx", "A 45550-2025")</f>
        <v/>
      </c>
      <c r="X331">
        <f>HYPERLINK("https://klasma.github.io/Logging_1267/tillsyn/A 45550-2025 tillsynsbegäran.docx", "A 45550-2025")</f>
        <v/>
      </c>
      <c r="Y331">
        <f>HYPERLINK("https://klasma.github.io/Logging_1267/tillsynsmail/A 45550-2025 tillsynsbegäran mail.docx", "A 45550-2025")</f>
        <v/>
      </c>
    </row>
    <row r="332" ht="15" customHeight="1">
      <c r="A332" t="inlineStr">
        <is>
          <t>A 32101-2024</t>
        </is>
      </c>
      <c r="B332" s="1" t="n">
        <v>45511.41752314815</v>
      </c>
      <c r="C332" s="1" t="n">
        <v>45962</v>
      </c>
      <c r="D332" t="inlineStr">
        <is>
          <t>SKÅNE LÄN</t>
        </is>
      </c>
      <c r="E332" t="inlineStr">
        <is>
          <t>KRISTIANSTAD</t>
        </is>
      </c>
      <c r="G332" t="n">
        <v>6.6</v>
      </c>
      <c r="H332" t="n">
        <v>1</v>
      </c>
      <c r="I332" t="n">
        <v>1</v>
      </c>
      <c r="J332" t="n">
        <v>0</v>
      </c>
      <c r="K332" t="n">
        <v>0</v>
      </c>
      <c r="L332" t="n">
        <v>0</v>
      </c>
      <c r="M332" t="n">
        <v>0</v>
      </c>
      <c r="N332" t="n">
        <v>0</v>
      </c>
      <c r="O332" t="n">
        <v>0</v>
      </c>
      <c r="P332" t="n">
        <v>0</v>
      </c>
      <c r="Q332" t="n">
        <v>1</v>
      </c>
      <c r="R332" s="2" t="inlineStr">
        <is>
          <t>Skogsknipprot</t>
        </is>
      </c>
      <c r="S332">
        <f>HYPERLINK("https://klasma.github.io/Logging_1290/artfynd/A 32101-2024 artfynd.xlsx", "A 32101-2024")</f>
        <v/>
      </c>
      <c r="T332">
        <f>HYPERLINK("https://klasma.github.io/Logging_1290/kartor/A 32101-2024 karta.png", "A 32101-2024")</f>
        <v/>
      </c>
      <c r="V332">
        <f>HYPERLINK("https://klasma.github.io/Logging_1290/klagomål/A 32101-2024 FSC-klagomål.docx", "A 32101-2024")</f>
        <v/>
      </c>
      <c r="W332">
        <f>HYPERLINK("https://klasma.github.io/Logging_1290/klagomålsmail/A 32101-2024 FSC-klagomål mail.docx", "A 32101-2024")</f>
        <v/>
      </c>
      <c r="X332">
        <f>HYPERLINK("https://klasma.github.io/Logging_1290/tillsyn/A 32101-2024 tillsynsbegäran.docx", "A 32101-2024")</f>
        <v/>
      </c>
      <c r="Y332">
        <f>HYPERLINK("https://klasma.github.io/Logging_1290/tillsynsmail/A 32101-2024 tillsynsbegäran mail.docx", "A 32101-2024")</f>
        <v/>
      </c>
    </row>
    <row r="333" ht="15" customHeight="1">
      <c r="A333" t="inlineStr">
        <is>
          <t>A 43335-2023</t>
        </is>
      </c>
      <c r="B333" s="1" t="n">
        <v>45183</v>
      </c>
      <c r="C333" s="1" t="n">
        <v>45962</v>
      </c>
      <c r="D333" t="inlineStr">
        <is>
          <t>SKÅNE LÄN</t>
        </is>
      </c>
      <c r="E333" t="inlineStr">
        <is>
          <t>SJÖBO</t>
        </is>
      </c>
      <c r="F333" t="inlineStr">
        <is>
          <t>Kommuner</t>
        </is>
      </c>
      <c r="G333" t="n">
        <v>4.9</v>
      </c>
      <c r="H333" t="n">
        <v>0</v>
      </c>
      <c r="I333" t="n">
        <v>0</v>
      </c>
      <c r="J333" t="n">
        <v>1</v>
      </c>
      <c r="K333" t="n">
        <v>0</v>
      </c>
      <c r="L333" t="n">
        <v>0</v>
      </c>
      <c r="M333" t="n">
        <v>0</v>
      </c>
      <c r="N333" t="n">
        <v>0</v>
      </c>
      <c r="O333" t="n">
        <v>1</v>
      </c>
      <c r="P333" t="n">
        <v>0</v>
      </c>
      <c r="Q333" t="n">
        <v>1</v>
      </c>
      <c r="R333" s="2" t="inlineStr">
        <is>
          <t>Igelkott</t>
        </is>
      </c>
      <c r="S333">
        <f>HYPERLINK("https://klasma.github.io/Logging_1265/artfynd/A 43335-2023 artfynd.xlsx", "A 43335-2023")</f>
        <v/>
      </c>
      <c r="T333">
        <f>HYPERLINK("https://klasma.github.io/Logging_1265/kartor/A 43335-2023 karta.png", "A 43335-2023")</f>
        <v/>
      </c>
      <c r="V333">
        <f>HYPERLINK("https://klasma.github.io/Logging_1265/klagomål/A 43335-2023 FSC-klagomål.docx", "A 43335-2023")</f>
        <v/>
      </c>
      <c r="W333">
        <f>HYPERLINK("https://klasma.github.io/Logging_1265/klagomålsmail/A 43335-2023 FSC-klagomål mail.docx", "A 43335-2023")</f>
        <v/>
      </c>
      <c r="X333">
        <f>HYPERLINK("https://klasma.github.io/Logging_1265/tillsyn/A 43335-2023 tillsynsbegäran.docx", "A 43335-2023")</f>
        <v/>
      </c>
      <c r="Y333">
        <f>HYPERLINK("https://klasma.github.io/Logging_1265/tillsynsmail/A 43335-2023 tillsynsbegäran mail.docx", "A 43335-2023")</f>
        <v/>
      </c>
    </row>
    <row r="334" ht="15" customHeight="1">
      <c r="A334" t="inlineStr">
        <is>
          <t>A 40613-2025</t>
        </is>
      </c>
      <c r="B334" s="1" t="n">
        <v>45896</v>
      </c>
      <c r="C334" s="1" t="n">
        <v>45962</v>
      </c>
      <c r="D334" t="inlineStr">
        <is>
          <t>SKÅNE LÄN</t>
        </is>
      </c>
      <c r="E334" t="inlineStr">
        <is>
          <t>HÄSSLEHOLM</t>
        </is>
      </c>
      <c r="F334" t="inlineStr">
        <is>
          <t>Kyrkan</t>
        </is>
      </c>
      <c r="G334" t="n">
        <v>3.4</v>
      </c>
      <c r="H334" t="n">
        <v>1</v>
      </c>
      <c r="I334" t="n">
        <v>0</v>
      </c>
      <c r="J334" t="n">
        <v>0</v>
      </c>
      <c r="K334" t="n">
        <v>0</v>
      </c>
      <c r="L334" t="n">
        <v>0</v>
      </c>
      <c r="M334" t="n">
        <v>0</v>
      </c>
      <c r="N334" t="n">
        <v>0</v>
      </c>
      <c r="O334" t="n">
        <v>0</v>
      </c>
      <c r="P334" t="n">
        <v>0</v>
      </c>
      <c r="Q334" t="n">
        <v>1</v>
      </c>
      <c r="R334" s="2" t="inlineStr">
        <is>
          <t>Revlummer</t>
        </is>
      </c>
      <c r="S334">
        <f>HYPERLINK("https://klasma.github.io/Logging_1293/artfynd/A 40613-2025 artfynd.xlsx", "A 40613-2025")</f>
        <v/>
      </c>
      <c r="T334">
        <f>HYPERLINK("https://klasma.github.io/Logging_1293/kartor/A 40613-2025 karta.png", "A 40613-2025")</f>
        <v/>
      </c>
      <c r="V334">
        <f>HYPERLINK("https://klasma.github.io/Logging_1293/klagomål/A 40613-2025 FSC-klagomål.docx", "A 40613-2025")</f>
        <v/>
      </c>
      <c r="W334">
        <f>HYPERLINK("https://klasma.github.io/Logging_1293/klagomålsmail/A 40613-2025 FSC-klagomål mail.docx", "A 40613-2025")</f>
        <v/>
      </c>
      <c r="X334">
        <f>HYPERLINK("https://klasma.github.io/Logging_1293/tillsyn/A 40613-2025 tillsynsbegäran.docx", "A 40613-2025")</f>
        <v/>
      </c>
      <c r="Y334">
        <f>HYPERLINK("https://klasma.github.io/Logging_1293/tillsynsmail/A 40613-2025 tillsynsbegäran mail.docx", "A 40613-2025")</f>
        <v/>
      </c>
    </row>
    <row r="335" ht="15" customHeight="1">
      <c r="A335" t="inlineStr">
        <is>
          <t>A 31700-2023</t>
        </is>
      </c>
      <c r="B335" s="1" t="n">
        <v>45117</v>
      </c>
      <c r="C335" s="1" t="n">
        <v>45962</v>
      </c>
      <c r="D335" t="inlineStr">
        <is>
          <t>SKÅNE LÄN</t>
        </is>
      </c>
      <c r="E335" t="inlineStr">
        <is>
          <t>SVEDALA</t>
        </is>
      </c>
      <c r="G335" t="n">
        <v>1.1</v>
      </c>
      <c r="H335" t="n">
        <v>0</v>
      </c>
      <c r="I335" t="n">
        <v>0</v>
      </c>
      <c r="J335" t="n">
        <v>0</v>
      </c>
      <c r="K335" t="n">
        <v>1</v>
      </c>
      <c r="L335" t="n">
        <v>0</v>
      </c>
      <c r="M335" t="n">
        <v>0</v>
      </c>
      <c r="N335" t="n">
        <v>0</v>
      </c>
      <c r="O335" t="n">
        <v>1</v>
      </c>
      <c r="P335" t="n">
        <v>1</v>
      </c>
      <c r="Q335" t="n">
        <v>1</v>
      </c>
      <c r="R335" s="2" t="inlineStr">
        <is>
          <t>Revig blodrot</t>
        </is>
      </c>
      <c r="S335">
        <f>HYPERLINK("https://klasma.github.io/Logging_1263/artfynd/A 31700-2023 artfynd.xlsx", "A 31700-2023")</f>
        <v/>
      </c>
      <c r="T335">
        <f>HYPERLINK("https://klasma.github.io/Logging_1263/kartor/A 31700-2023 karta.png", "A 31700-2023")</f>
        <v/>
      </c>
      <c r="V335">
        <f>HYPERLINK("https://klasma.github.io/Logging_1263/klagomål/A 31700-2023 FSC-klagomål.docx", "A 31700-2023")</f>
        <v/>
      </c>
      <c r="W335">
        <f>HYPERLINK("https://klasma.github.io/Logging_1263/klagomålsmail/A 31700-2023 FSC-klagomål mail.docx", "A 31700-2023")</f>
        <v/>
      </c>
      <c r="X335">
        <f>HYPERLINK("https://klasma.github.io/Logging_1263/tillsyn/A 31700-2023 tillsynsbegäran.docx", "A 31700-2023")</f>
        <v/>
      </c>
      <c r="Y335">
        <f>HYPERLINK("https://klasma.github.io/Logging_1263/tillsynsmail/A 31700-2023 tillsynsbegäran mail.docx", "A 31700-2023")</f>
        <v/>
      </c>
    </row>
    <row r="336" ht="15" customHeight="1">
      <c r="A336" t="inlineStr">
        <is>
          <t>A 34341-2024</t>
        </is>
      </c>
      <c r="B336" s="1" t="n">
        <v>45525</v>
      </c>
      <c r="C336" s="1" t="n">
        <v>45962</v>
      </c>
      <c r="D336" t="inlineStr">
        <is>
          <t>SKÅNE LÄN</t>
        </is>
      </c>
      <c r="E336" t="inlineStr">
        <is>
          <t>YSTAD</t>
        </is>
      </c>
      <c r="F336" t="inlineStr">
        <is>
          <t>Övriga Aktiebolag</t>
        </is>
      </c>
      <c r="G336" t="n">
        <v>14.4</v>
      </c>
      <c r="H336" t="n">
        <v>0</v>
      </c>
      <c r="I336" t="n">
        <v>0</v>
      </c>
      <c r="J336" t="n">
        <v>1</v>
      </c>
      <c r="K336" t="n">
        <v>0</v>
      </c>
      <c r="L336" t="n">
        <v>0</v>
      </c>
      <c r="M336" t="n">
        <v>0</v>
      </c>
      <c r="N336" t="n">
        <v>0</v>
      </c>
      <c r="O336" t="n">
        <v>1</v>
      </c>
      <c r="P336" t="n">
        <v>0</v>
      </c>
      <c r="Q336" t="n">
        <v>1</v>
      </c>
      <c r="R336" s="2" t="inlineStr">
        <is>
          <t>Desmeknopp</t>
        </is>
      </c>
      <c r="S336">
        <f>HYPERLINK("https://klasma.github.io/Logging_1286/artfynd/A 34341-2024 artfynd.xlsx", "A 34341-2024")</f>
        <v/>
      </c>
      <c r="T336">
        <f>HYPERLINK("https://klasma.github.io/Logging_1286/kartor/A 34341-2024 karta.png", "A 34341-2024")</f>
        <v/>
      </c>
      <c r="V336">
        <f>HYPERLINK("https://klasma.github.io/Logging_1286/klagomål/A 34341-2024 FSC-klagomål.docx", "A 34341-2024")</f>
        <v/>
      </c>
      <c r="W336">
        <f>HYPERLINK("https://klasma.github.io/Logging_1286/klagomålsmail/A 34341-2024 FSC-klagomål mail.docx", "A 34341-2024")</f>
        <v/>
      </c>
      <c r="X336">
        <f>HYPERLINK("https://klasma.github.io/Logging_1286/tillsyn/A 34341-2024 tillsynsbegäran.docx", "A 34341-2024")</f>
        <v/>
      </c>
      <c r="Y336">
        <f>HYPERLINK("https://klasma.github.io/Logging_1286/tillsynsmail/A 34341-2024 tillsynsbegäran mail.docx", "A 34341-2024")</f>
        <v/>
      </c>
    </row>
    <row r="337" ht="15" customHeight="1">
      <c r="A337" t="inlineStr">
        <is>
          <t>A 71055-2021</t>
        </is>
      </c>
      <c r="B337" s="1" t="n">
        <v>44538</v>
      </c>
      <c r="C337" s="1" t="n">
        <v>45962</v>
      </c>
      <c r="D337" t="inlineStr">
        <is>
          <t>SKÅNE LÄN</t>
        </is>
      </c>
      <c r="E337" t="inlineStr">
        <is>
          <t>SJÖBO</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HYPERLINK("https://klasma.github.io/Logging_1265/artfynd/A 71055-2021 artfynd.xlsx", "A 71055-2021")</f>
        <v/>
      </c>
      <c r="T337">
        <f>HYPERLINK("https://klasma.github.io/Logging_1265/kartor/A 71055-2021 karta.png", "A 71055-2021")</f>
        <v/>
      </c>
      <c r="V337">
        <f>HYPERLINK("https://klasma.github.io/Logging_1265/klagomål/A 71055-2021 FSC-klagomål.docx", "A 71055-2021")</f>
        <v/>
      </c>
      <c r="W337">
        <f>HYPERLINK("https://klasma.github.io/Logging_1265/klagomålsmail/A 71055-2021 FSC-klagomål mail.docx", "A 71055-2021")</f>
        <v/>
      </c>
      <c r="X337">
        <f>HYPERLINK("https://klasma.github.io/Logging_1265/tillsyn/A 71055-2021 tillsynsbegäran.docx", "A 71055-2021")</f>
        <v/>
      </c>
      <c r="Y337">
        <f>HYPERLINK("https://klasma.github.io/Logging_1265/tillsynsmail/A 71055-2021 tillsynsbegäran mail.docx", "A 71055-2021")</f>
        <v/>
      </c>
    </row>
    <row r="338" ht="15" customHeight="1">
      <c r="A338" t="inlineStr">
        <is>
          <t>A 14933-2023</t>
        </is>
      </c>
      <c r="B338" s="1" t="n">
        <v>45014</v>
      </c>
      <c r="C338" s="1" t="n">
        <v>45962</v>
      </c>
      <c r="D338" t="inlineStr">
        <is>
          <t>SKÅNE LÄN</t>
        </is>
      </c>
      <c r="E338" t="inlineStr">
        <is>
          <t>HÄSSLEHOLM</t>
        </is>
      </c>
      <c r="G338" t="n">
        <v>1.2</v>
      </c>
      <c r="H338" t="n">
        <v>0</v>
      </c>
      <c r="I338" t="n">
        <v>0</v>
      </c>
      <c r="J338" t="n">
        <v>0</v>
      </c>
      <c r="K338" t="n">
        <v>1</v>
      </c>
      <c r="L338" t="n">
        <v>0</v>
      </c>
      <c r="M338" t="n">
        <v>0</v>
      </c>
      <c r="N338" t="n">
        <v>0</v>
      </c>
      <c r="O338" t="n">
        <v>1</v>
      </c>
      <c r="P338" t="n">
        <v>1</v>
      </c>
      <c r="Q338" t="n">
        <v>1</v>
      </c>
      <c r="R338" s="2" t="inlineStr">
        <is>
          <t>Småvänderot</t>
        </is>
      </c>
      <c r="S338">
        <f>HYPERLINK("https://klasma.github.io/Logging_1293/artfynd/A 14933-2023 artfynd.xlsx", "A 14933-2023")</f>
        <v/>
      </c>
      <c r="T338">
        <f>HYPERLINK("https://klasma.github.io/Logging_1293/kartor/A 14933-2023 karta.png", "A 14933-2023")</f>
        <v/>
      </c>
      <c r="V338">
        <f>HYPERLINK("https://klasma.github.io/Logging_1293/klagomål/A 14933-2023 FSC-klagomål.docx", "A 14933-2023")</f>
        <v/>
      </c>
      <c r="W338">
        <f>HYPERLINK("https://klasma.github.io/Logging_1293/klagomålsmail/A 14933-2023 FSC-klagomål mail.docx", "A 14933-2023")</f>
        <v/>
      </c>
      <c r="X338">
        <f>HYPERLINK("https://klasma.github.io/Logging_1293/tillsyn/A 14933-2023 tillsynsbegäran.docx", "A 14933-2023")</f>
        <v/>
      </c>
      <c r="Y338">
        <f>HYPERLINK("https://klasma.github.io/Logging_1293/tillsynsmail/A 14933-2023 tillsynsbegäran mail.docx", "A 14933-2023")</f>
        <v/>
      </c>
    </row>
    <row r="339" ht="15" customHeight="1">
      <c r="A339" t="inlineStr">
        <is>
          <t>A 59610-2023</t>
        </is>
      </c>
      <c r="B339" s="1" t="n">
        <v>45253</v>
      </c>
      <c r="C339" s="1" t="n">
        <v>45962</v>
      </c>
      <c r="D339" t="inlineStr">
        <is>
          <t>SKÅNE LÄN</t>
        </is>
      </c>
      <c r="E339" t="inlineStr">
        <is>
          <t>SJÖBO</t>
        </is>
      </c>
      <c r="G339" t="n">
        <v>2.4</v>
      </c>
      <c r="H339" t="n">
        <v>1</v>
      </c>
      <c r="I339" t="n">
        <v>1</v>
      </c>
      <c r="J339" t="n">
        <v>0</v>
      </c>
      <c r="K339" t="n">
        <v>0</v>
      </c>
      <c r="L339" t="n">
        <v>0</v>
      </c>
      <c r="M339" t="n">
        <v>0</v>
      </c>
      <c r="N339" t="n">
        <v>0</v>
      </c>
      <c r="O339" t="n">
        <v>0</v>
      </c>
      <c r="P339" t="n">
        <v>0</v>
      </c>
      <c r="Q339" t="n">
        <v>1</v>
      </c>
      <c r="R339" s="2" t="inlineStr">
        <is>
          <t>Ekoxe</t>
        </is>
      </c>
      <c r="S339">
        <f>HYPERLINK("https://klasma.github.io/Logging_1265/artfynd/A 59610-2023 artfynd.xlsx", "A 59610-2023")</f>
        <v/>
      </c>
      <c r="T339">
        <f>HYPERLINK("https://klasma.github.io/Logging_1265/kartor/A 59610-2023 karta.png", "A 59610-2023")</f>
        <v/>
      </c>
      <c r="V339">
        <f>HYPERLINK("https://klasma.github.io/Logging_1265/klagomål/A 59610-2023 FSC-klagomål.docx", "A 59610-2023")</f>
        <v/>
      </c>
      <c r="W339">
        <f>HYPERLINK("https://klasma.github.io/Logging_1265/klagomålsmail/A 59610-2023 FSC-klagomål mail.docx", "A 59610-2023")</f>
        <v/>
      </c>
      <c r="X339">
        <f>HYPERLINK("https://klasma.github.io/Logging_1265/tillsyn/A 59610-2023 tillsynsbegäran.docx", "A 59610-2023")</f>
        <v/>
      </c>
      <c r="Y339">
        <f>HYPERLINK("https://klasma.github.io/Logging_1265/tillsynsmail/A 59610-2023 tillsynsbegäran mail.docx", "A 59610-2023")</f>
        <v/>
      </c>
    </row>
    <row r="340" ht="15" customHeight="1">
      <c r="A340" t="inlineStr">
        <is>
          <t>A 42330-2025</t>
        </is>
      </c>
      <c r="B340" s="1" t="n">
        <v>45903</v>
      </c>
      <c r="C340" s="1" t="n">
        <v>45962</v>
      </c>
      <c r="D340" t="inlineStr">
        <is>
          <t>SKÅNE LÄN</t>
        </is>
      </c>
      <c r="E340" t="inlineStr">
        <is>
          <t>TOMELILLA</t>
        </is>
      </c>
      <c r="G340" t="n">
        <v>0.7</v>
      </c>
      <c r="H340" t="n">
        <v>1</v>
      </c>
      <c r="I340" t="n">
        <v>0</v>
      </c>
      <c r="J340" t="n">
        <v>0</v>
      </c>
      <c r="K340" t="n">
        <v>0</v>
      </c>
      <c r="L340" t="n">
        <v>0</v>
      </c>
      <c r="M340" t="n">
        <v>0</v>
      </c>
      <c r="N340" t="n">
        <v>0</v>
      </c>
      <c r="O340" t="n">
        <v>0</v>
      </c>
      <c r="P340" t="n">
        <v>0</v>
      </c>
      <c r="Q340" t="n">
        <v>1</v>
      </c>
      <c r="R340" s="2" t="inlineStr">
        <is>
          <t>Törnskata</t>
        </is>
      </c>
      <c r="S340">
        <f>HYPERLINK("https://klasma.github.io/Logging_1270/artfynd/A 42330-2025 artfynd.xlsx", "A 42330-2025")</f>
        <v/>
      </c>
      <c r="T340">
        <f>HYPERLINK("https://klasma.github.io/Logging_1270/kartor/A 42330-2025 karta.png", "A 42330-2025")</f>
        <v/>
      </c>
      <c r="V340">
        <f>HYPERLINK("https://klasma.github.io/Logging_1270/klagomål/A 42330-2025 FSC-klagomål.docx", "A 42330-2025")</f>
        <v/>
      </c>
      <c r="W340">
        <f>HYPERLINK("https://klasma.github.io/Logging_1270/klagomålsmail/A 42330-2025 FSC-klagomål mail.docx", "A 42330-2025")</f>
        <v/>
      </c>
      <c r="X340">
        <f>HYPERLINK("https://klasma.github.io/Logging_1270/tillsyn/A 42330-2025 tillsynsbegäran.docx", "A 42330-2025")</f>
        <v/>
      </c>
      <c r="Y340">
        <f>HYPERLINK("https://klasma.github.io/Logging_1270/tillsynsmail/A 42330-2025 tillsynsbegäran mail.docx", "A 42330-2025")</f>
        <v/>
      </c>
      <c r="Z340">
        <f>HYPERLINK("https://klasma.github.io/Logging_1270/fåglar/A 42330-2025 prioriterade fågelarter.docx", "A 42330-2025")</f>
        <v/>
      </c>
    </row>
    <row r="341" ht="15" customHeight="1">
      <c r="A341" t="inlineStr">
        <is>
          <t>A 50825-2025</t>
        </is>
      </c>
      <c r="B341" s="1" t="n">
        <v>45946.54048611111</v>
      </c>
      <c r="C341" s="1" t="n">
        <v>45962</v>
      </c>
      <c r="D341" t="inlineStr">
        <is>
          <t>SKÅNE LÄN</t>
        </is>
      </c>
      <c r="E341" t="inlineStr">
        <is>
          <t>KÄVLINGE</t>
        </is>
      </c>
      <c r="G341" t="n">
        <v>2.6</v>
      </c>
      <c r="H341" t="n">
        <v>0</v>
      </c>
      <c r="I341" t="n">
        <v>0</v>
      </c>
      <c r="J341" t="n">
        <v>0</v>
      </c>
      <c r="K341" t="n">
        <v>0</v>
      </c>
      <c r="L341" t="n">
        <v>1</v>
      </c>
      <c r="M341" t="n">
        <v>0</v>
      </c>
      <c r="N341" t="n">
        <v>0</v>
      </c>
      <c r="O341" t="n">
        <v>1</v>
      </c>
      <c r="P341" t="n">
        <v>1</v>
      </c>
      <c r="Q341" t="n">
        <v>1</v>
      </c>
      <c r="R341" s="2" t="inlineStr">
        <is>
          <t>Bergbjörnbär</t>
        </is>
      </c>
      <c r="S341">
        <f>HYPERLINK("https://klasma.github.io/Logging_1261/artfynd/A 50825-2025 artfynd.xlsx", "A 50825-2025")</f>
        <v/>
      </c>
      <c r="T341">
        <f>HYPERLINK("https://klasma.github.io/Logging_1261/kartor/A 50825-2025 karta.png", "A 50825-2025")</f>
        <v/>
      </c>
      <c r="V341">
        <f>HYPERLINK("https://klasma.github.io/Logging_1261/klagomål/A 50825-2025 FSC-klagomål.docx", "A 50825-2025")</f>
        <v/>
      </c>
      <c r="W341">
        <f>HYPERLINK("https://klasma.github.io/Logging_1261/klagomålsmail/A 50825-2025 FSC-klagomål mail.docx", "A 50825-2025")</f>
        <v/>
      </c>
      <c r="X341">
        <f>HYPERLINK("https://klasma.github.io/Logging_1261/tillsyn/A 50825-2025 tillsynsbegäran.docx", "A 50825-2025")</f>
        <v/>
      </c>
      <c r="Y341">
        <f>HYPERLINK("https://klasma.github.io/Logging_1261/tillsynsmail/A 50825-2025 tillsynsbegäran mail.docx", "A 50825-2025")</f>
        <v/>
      </c>
    </row>
    <row r="342" ht="15" customHeight="1">
      <c r="A342" t="inlineStr">
        <is>
          <t>A 50759-2025</t>
        </is>
      </c>
      <c r="B342" s="1" t="n">
        <v>45946</v>
      </c>
      <c r="C342" s="1" t="n">
        <v>45962</v>
      </c>
      <c r="D342" t="inlineStr">
        <is>
          <t>SKÅNE LÄN</t>
        </is>
      </c>
      <c r="E342" t="inlineStr">
        <is>
          <t>BJUV</t>
        </is>
      </c>
      <c r="G342" t="n">
        <v>14.4</v>
      </c>
      <c r="H342" t="n">
        <v>1</v>
      </c>
      <c r="I342" t="n">
        <v>0</v>
      </c>
      <c r="J342" t="n">
        <v>1</v>
      </c>
      <c r="K342" t="n">
        <v>0</v>
      </c>
      <c r="L342" t="n">
        <v>0</v>
      </c>
      <c r="M342" t="n">
        <v>0</v>
      </c>
      <c r="N342" t="n">
        <v>0</v>
      </c>
      <c r="O342" t="n">
        <v>1</v>
      </c>
      <c r="P342" t="n">
        <v>0</v>
      </c>
      <c r="Q342" t="n">
        <v>1</v>
      </c>
      <c r="R342" s="2" t="inlineStr">
        <is>
          <t>Gulsparv</t>
        </is>
      </c>
      <c r="S342">
        <f>HYPERLINK("https://klasma.github.io/Logging_1260/artfynd/A 50759-2025 artfynd.xlsx", "A 50759-2025")</f>
        <v/>
      </c>
      <c r="T342">
        <f>HYPERLINK("https://klasma.github.io/Logging_1260/kartor/A 50759-2025 karta.png", "A 50759-2025")</f>
        <v/>
      </c>
      <c r="V342">
        <f>HYPERLINK("https://klasma.github.io/Logging_1260/klagomål/A 50759-2025 FSC-klagomål.docx", "A 50759-2025")</f>
        <v/>
      </c>
      <c r="W342">
        <f>HYPERLINK("https://klasma.github.io/Logging_1260/klagomålsmail/A 50759-2025 FSC-klagomål mail.docx", "A 50759-2025")</f>
        <v/>
      </c>
      <c r="X342">
        <f>HYPERLINK("https://klasma.github.io/Logging_1260/tillsyn/A 50759-2025 tillsynsbegäran.docx", "A 50759-2025")</f>
        <v/>
      </c>
      <c r="Y342">
        <f>HYPERLINK("https://klasma.github.io/Logging_1260/tillsynsmail/A 50759-2025 tillsynsbegäran mail.docx", "A 50759-2025")</f>
        <v/>
      </c>
      <c r="Z342">
        <f>HYPERLINK("https://klasma.github.io/Logging_1260/fåglar/A 50759-2025 prioriterade fågelarter.docx", "A 50759-2025")</f>
        <v/>
      </c>
    </row>
    <row r="343" ht="15" customHeight="1">
      <c r="A343" t="inlineStr">
        <is>
          <t>A 43095-2025</t>
        </is>
      </c>
      <c r="B343" s="1" t="n">
        <v>45909.62664351852</v>
      </c>
      <c r="C343" s="1" t="n">
        <v>45962</v>
      </c>
      <c r="D343" t="inlineStr">
        <is>
          <t>SKÅNE LÄN</t>
        </is>
      </c>
      <c r="E343" t="inlineStr">
        <is>
          <t>OSBY</t>
        </is>
      </c>
      <c r="G343" t="n">
        <v>0.3</v>
      </c>
      <c r="H343" t="n">
        <v>0</v>
      </c>
      <c r="I343" t="n">
        <v>1</v>
      </c>
      <c r="J343" t="n">
        <v>0</v>
      </c>
      <c r="K343" t="n">
        <v>0</v>
      </c>
      <c r="L343" t="n">
        <v>0</v>
      </c>
      <c r="M343" t="n">
        <v>0</v>
      </c>
      <c r="N343" t="n">
        <v>0</v>
      </c>
      <c r="O343" t="n">
        <v>0</v>
      </c>
      <c r="P343" t="n">
        <v>0</v>
      </c>
      <c r="Q343" t="n">
        <v>1</v>
      </c>
      <c r="R343" s="2" t="inlineStr">
        <is>
          <t>Tibast</t>
        </is>
      </c>
      <c r="S343">
        <f>HYPERLINK("https://klasma.github.io/Logging_1273/artfynd/A 43095-2025 artfynd.xlsx", "A 43095-2025")</f>
        <v/>
      </c>
      <c r="T343">
        <f>HYPERLINK("https://klasma.github.io/Logging_1273/kartor/A 43095-2025 karta.png", "A 43095-2025")</f>
        <v/>
      </c>
      <c r="V343">
        <f>HYPERLINK("https://klasma.github.io/Logging_1273/klagomål/A 43095-2025 FSC-klagomål.docx", "A 43095-2025")</f>
        <v/>
      </c>
      <c r="W343">
        <f>HYPERLINK("https://klasma.github.io/Logging_1273/klagomålsmail/A 43095-2025 FSC-klagomål mail.docx", "A 43095-2025")</f>
        <v/>
      </c>
      <c r="X343">
        <f>HYPERLINK("https://klasma.github.io/Logging_1273/tillsyn/A 43095-2025 tillsynsbegäran.docx", "A 43095-2025")</f>
        <v/>
      </c>
      <c r="Y343">
        <f>HYPERLINK("https://klasma.github.io/Logging_1273/tillsynsmail/A 43095-2025 tillsynsbegäran mail.docx", "A 43095-2025")</f>
        <v/>
      </c>
    </row>
    <row r="344" ht="15" customHeight="1">
      <c r="A344" t="inlineStr">
        <is>
          <t>A 4792-2025</t>
        </is>
      </c>
      <c r="B344" s="1" t="n">
        <v>45688.57549768518</v>
      </c>
      <c r="C344" s="1" t="n">
        <v>45962</v>
      </c>
      <c r="D344" t="inlineStr">
        <is>
          <t>SKÅNE LÄN</t>
        </is>
      </c>
      <c r="E344" t="inlineStr">
        <is>
          <t>LUND</t>
        </is>
      </c>
      <c r="G344" t="n">
        <v>5.9</v>
      </c>
      <c r="H344" t="n">
        <v>0</v>
      </c>
      <c r="I344" t="n">
        <v>0</v>
      </c>
      <c r="J344" t="n">
        <v>1</v>
      </c>
      <c r="K344" t="n">
        <v>0</v>
      </c>
      <c r="L344" t="n">
        <v>0</v>
      </c>
      <c r="M344" t="n">
        <v>0</v>
      </c>
      <c r="N344" t="n">
        <v>0</v>
      </c>
      <c r="O344" t="n">
        <v>1</v>
      </c>
      <c r="P344" t="n">
        <v>0</v>
      </c>
      <c r="Q344" t="n">
        <v>1</v>
      </c>
      <c r="R344" s="2" t="inlineStr">
        <is>
          <t>Oxtungssvamp</t>
        </is>
      </c>
      <c r="S344">
        <f>HYPERLINK("https://klasma.github.io/Logging_1281/artfynd/A 4792-2025 artfynd.xlsx", "A 4792-2025")</f>
        <v/>
      </c>
      <c r="T344">
        <f>HYPERLINK("https://klasma.github.io/Logging_1281/kartor/A 4792-2025 karta.png", "A 4792-2025")</f>
        <v/>
      </c>
      <c r="V344">
        <f>HYPERLINK("https://klasma.github.io/Logging_1281/klagomål/A 4792-2025 FSC-klagomål.docx", "A 4792-2025")</f>
        <v/>
      </c>
      <c r="W344">
        <f>HYPERLINK("https://klasma.github.io/Logging_1281/klagomålsmail/A 4792-2025 FSC-klagomål mail.docx", "A 4792-2025")</f>
        <v/>
      </c>
      <c r="X344">
        <f>HYPERLINK("https://klasma.github.io/Logging_1281/tillsyn/A 4792-2025 tillsynsbegäran.docx", "A 4792-2025")</f>
        <v/>
      </c>
      <c r="Y344">
        <f>HYPERLINK("https://klasma.github.io/Logging_1281/tillsynsmail/A 4792-2025 tillsynsbegäran mail.docx", "A 4792-2025")</f>
        <v/>
      </c>
    </row>
    <row r="345" ht="15" customHeight="1">
      <c r="A345" t="inlineStr">
        <is>
          <t>A 43471-2025</t>
        </is>
      </c>
      <c r="B345" s="1" t="n">
        <v>45911</v>
      </c>
      <c r="C345" s="1" t="n">
        <v>45962</v>
      </c>
      <c r="D345" t="inlineStr">
        <is>
          <t>SKÅNE LÄN</t>
        </is>
      </c>
      <c r="E345" t="inlineStr">
        <is>
          <t>ÖRKELLJUNGA</t>
        </is>
      </c>
      <c r="G345" t="n">
        <v>2.2</v>
      </c>
      <c r="H345" t="n">
        <v>0</v>
      </c>
      <c r="I345" t="n">
        <v>0</v>
      </c>
      <c r="J345" t="n">
        <v>1</v>
      </c>
      <c r="K345" t="n">
        <v>0</v>
      </c>
      <c r="L345" t="n">
        <v>0</v>
      </c>
      <c r="M345" t="n">
        <v>0</v>
      </c>
      <c r="N345" t="n">
        <v>0</v>
      </c>
      <c r="O345" t="n">
        <v>1</v>
      </c>
      <c r="P345" t="n">
        <v>0</v>
      </c>
      <c r="Q345" t="n">
        <v>1</v>
      </c>
      <c r="R345" s="2" t="inlineStr">
        <is>
          <t>Granspira</t>
        </is>
      </c>
      <c r="S345">
        <f>HYPERLINK("https://klasma.github.io/Logging_1257/artfynd/A 43471-2025 artfynd.xlsx", "A 43471-2025")</f>
        <v/>
      </c>
      <c r="T345">
        <f>HYPERLINK("https://klasma.github.io/Logging_1257/kartor/A 43471-2025 karta.png", "A 43471-2025")</f>
        <v/>
      </c>
      <c r="V345">
        <f>HYPERLINK("https://klasma.github.io/Logging_1257/klagomål/A 43471-2025 FSC-klagomål.docx", "A 43471-2025")</f>
        <v/>
      </c>
      <c r="W345">
        <f>HYPERLINK("https://klasma.github.io/Logging_1257/klagomålsmail/A 43471-2025 FSC-klagomål mail.docx", "A 43471-2025")</f>
        <v/>
      </c>
      <c r="X345">
        <f>HYPERLINK("https://klasma.github.io/Logging_1257/tillsyn/A 43471-2025 tillsynsbegäran.docx", "A 43471-2025")</f>
        <v/>
      </c>
      <c r="Y345">
        <f>HYPERLINK("https://klasma.github.io/Logging_1257/tillsynsmail/A 43471-2025 tillsynsbegäran mail.docx", "A 43471-2025")</f>
        <v/>
      </c>
    </row>
    <row r="346" ht="15" customHeight="1">
      <c r="A346" t="inlineStr">
        <is>
          <t>A 47662-2025</t>
        </is>
      </c>
      <c r="B346" s="1" t="n">
        <v>45931.56096064814</v>
      </c>
      <c r="C346" s="1" t="n">
        <v>45962</v>
      </c>
      <c r="D346" t="inlineStr">
        <is>
          <t>SKÅNE LÄN</t>
        </is>
      </c>
      <c r="E346" t="inlineStr">
        <is>
          <t>KRISTIANSTAD</t>
        </is>
      </c>
      <c r="F346" t="inlineStr">
        <is>
          <t>Övriga Aktiebolag</t>
        </is>
      </c>
      <c r="G346" t="n">
        <v>3</v>
      </c>
      <c r="H346" t="n">
        <v>0</v>
      </c>
      <c r="I346" t="n">
        <v>0</v>
      </c>
      <c r="J346" t="n">
        <v>0</v>
      </c>
      <c r="K346" t="n">
        <v>1</v>
      </c>
      <c r="L346" t="n">
        <v>0</v>
      </c>
      <c r="M346" t="n">
        <v>0</v>
      </c>
      <c r="N346" t="n">
        <v>0</v>
      </c>
      <c r="O346" t="n">
        <v>1</v>
      </c>
      <c r="P346" t="n">
        <v>1</v>
      </c>
      <c r="Q346" t="n">
        <v>1</v>
      </c>
      <c r="R346" s="2" t="inlineStr">
        <is>
          <t>Småvänderot</t>
        </is>
      </c>
      <c r="S346">
        <f>HYPERLINK("https://klasma.github.io/Logging_1290/artfynd/A 47662-2025 artfynd.xlsx", "A 47662-2025")</f>
        <v/>
      </c>
      <c r="T346">
        <f>HYPERLINK("https://klasma.github.io/Logging_1290/kartor/A 47662-2025 karta.png", "A 47662-2025")</f>
        <v/>
      </c>
      <c r="V346">
        <f>HYPERLINK("https://klasma.github.io/Logging_1290/klagomål/A 47662-2025 FSC-klagomål.docx", "A 47662-2025")</f>
        <v/>
      </c>
      <c r="W346">
        <f>HYPERLINK("https://klasma.github.io/Logging_1290/klagomålsmail/A 47662-2025 FSC-klagomål mail.docx", "A 47662-2025")</f>
        <v/>
      </c>
      <c r="X346">
        <f>HYPERLINK("https://klasma.github.io/Logging_1290/tillsyn/A 47662-2025 tillsynsbegäran.docx", "A 47662-2025")</f>
        <v/>
      </c>
      <c r="Y346">
        <f>HYPERLINK("https://klasma.github.io/Logging_1290/tillsynsmail/A 47662-2025 tillsynsbegäran mail.docx", "A 47662-2025")</f>
        <v/>
      </c>
    </row>
    <row r="347" ht="15" customHeight="1">
      <c r="A347" t="inlineStr">
        <is>
          <t>A 50553-2025</t>
        </is>
      </c>
      <c r="B347" s="1" t="n">
        <v>45945</v>
      </c>
      <c r="C347" s="1" t="n">
        <v>45962</v>
      </c>
      <c r="D347" t="inlineStr">
        <is>
          <t>SKÅNE LÄN</t>
        </is>
      </c>
      <c r="E347" t="inlineStr">
        <is>
          <t>HÖÖR</t>
        </is>
      </c>
      <c r="G347" t="n">
        <v>4</v>
      </c>
      <c r="H347" t="n">
        <v>0</v>
      </c>
      <c r="I347" t="n">
        <v>0</v>
      </c>
      <c r="J347" t="n">
        <v>1</v>
      </c>
      <c r="K347" t="n">
        <v>0</v>
      </c>
      <c r="L347" t="n">
        <v>0</v>
      </c>
      <c r="M347" t="n">
        <v>0</v>
      </c>
      <c r="N347" t="n">
        <v>0</v>
      </c>
      <c r="O347" t="n">
        <v>1</v>
      </c>
      <c r="P347" t="n">
        <v>0</v>
      </c>
      <c r="Q347" t="n">
        <v>1</v>
      </c>
      <c r="R347" s="2" t="inlineStr">
        <is>
          <t>Sexfläckig blombock</t>
        </is>
      </c>
      <c r="S347">
        <f>HYPERLINK("https://klasma.github.io/Logging_1267/artfynd/A 50553-2025 artfynd.xlsx", "A 50553-2025")</f>
        <v/>
      </c>
      <c r="T347">
        <f>HYPERLINK("https://klasma.github.io/Logging_1267/kartor/A 50553-2025 karta.png", "A 50553-2025")</f>
        <v/>
      </c>
      <c r="V347">
        <f>HYPERLINK("https://klasma.github.io/Logging_1267/klagomål/A 50553-2025 FSC-klagomål.docx", "A 50553-2025")</f>
        <v/>
      </c>
      <c r="W347">
        <f>HYPERLINK("https://klasma.github.io/Logging_1267/klagomålsmail/A 50553-2025 FSC-klagomål mail.docx", "A 50553-2025")</f>
        <v/>
      </c>
      <c r="X347">
        <f>HYPERLINK("https://klasma.github.io/Logging_1267/tillsyn/A 50553-2025 tillsynsbegäran.docx", "A 50553-2025")</f>
        <v/>
      </c>
      <c r="Y347">
        <f>HYPERLINK("https://klasma.github.io/Logging_1267/tillsynsmail/A 50553-2025 tillsynsbegäran mail.docx", "A 50553-2025")</f>
        <v/>
      </c>
    </row>
    <row r="348" ht="15" customHeight="1">
      <c r="A348" t="inlineStr">
        <is>
          <t>A 49546-2025</t>
        </is>
      </c>
      <c r="B348" s="1" t="n">
        <v>45939</v>
      </c>
      <c r="C348" s="1" t="n">
        <v>45962</v>
      </c>
      <c r="D348" t="inlineStr">
        <is>
          <t>SKÅNE LÄN</t>
        </is>
      </c>
      <c r="E348" t="inlineStr">
        <is>
          <t>YSTAD</t>
        </is>
      </c>
      <c r="G348" t="n">
        <v>4.4</v>
      </c>
      <c r="H348" t="n">
        <v>0</v>
      </c>
      <c r="I348" t="n">
        <v>1</v>
      </c>
      <c r="J348" t="n">
        <v>0</v>
      </c>
      <c r="K348" t="n">
        <v>0</v>
      </c>
      <c r="L348" t="n">
        <v>0</v>
      </c>
      <c r="M348" t="n">
        <v>0</v>
      </c>
      <c r="N348" t="n">
        <v>0</v>
      </c>
      <c r="O348" t="n">
        <v>0</v>
      </c>
      <c r="P348" t="n">
        <v>0</v>
      </c>
      <c r="Q348" t="n">
        <v>1</v>
      </c>
      <c r="R348" s="2" t="inlineStr">
        <is>
          <t>Igelkottsröksvamp</t>
        </is>
      </c>
      <c r="S348">
        <f>HYPERLINK("https://klasma.github.io/Logging_1286/artfynd/A 49546-2025 artfynd.xlsx", "A 49546-2025")</f>
        <v/>
      </c>
      <c r="T348">
        <f>HYPERLINK("https://klasma.github.io/Logging_1286/kartor/A 49546-2025 karta.png", "A 49546-2025")</f>
        <v/>
      </c>
      <c r="V348">
        <f>HYPERLINK("https://klasma.github.io/Logging_1286/klagomål/A 49546-2025 FSC-klagomål.docx", "A 49546-2025")</f>
        <v/>
      </c>
      <c r="W348">
        <f>HYPERLINK("https://klasma.github.io/Logging_1286/klagomålsmail/A 49546-2025 FSC-klagomål mail.docx", "A 49546-2025")</f>
        <v/>
      </c>
      <c r="X348">
        <f>HYPERLINK("https://klasma.github.io/Logging_1286/tillsyn/A 49546-2025 tillsynsbegäran.docx", "A 49546-2025")</f>
        <v/>
      </c>
      <c r="Y348">
        <f>HYPERLINK("https://klasma.github.io/Logging_1286/tillsynsmail/A 49546-2025 tillsynsbegäran mail.docx", "A 49546-2025")</f>
        <v/>
      </c>
    </row>
    <row r="349" ht="15" customHeight="1">
      <c r="A349" t="inlineStr">
        <is>
          <t>A 53189-2025</t>
        </is>
      </c>
      <c r="B349" s="1" t="n">
        <v>45958.56099537037</v>
      </c>
      <c r="C349" s="1" t="n">
        <v>45962</v>
      </c>
      <c r="D349" t="inlineStr">
        <is>
          <t>SKÅNE LÄN</t>
        </is>
      </c>
      <c r="E349" t="inlineStr">
        <is>
          <t>KRISTIANSTAD</t>
        </is>
      </c>
      <c r="G349" t="n">
        <v>1</v>
      </c>
      <c r="H349" t="n">
        <v>0</v>
      </c>
      <c r="I349" t="n">
        <v>0</v>
      </c>
      <c r="J349" t="n">
        <v>1</v>
      </c>
      <c r="K349" t="n">
        <v>0</v>
      </c>
      <c r="L349" t="n">
        <v>0</v>
      </c>
      <c r="M349" t="n">
        <v>0</v>
      </c>
      <c r="N349" t="n">
        <v>0</v>
      </c>
      <c r="O349" t="n">
        <v>1</v>
      </c>
      <c r="P349" t="n">
        <v>0</v>
      </c>
      <c r="Q349" t="n">
        <v>1</v>
      </c>
      <c r="R349" s="2" t="inlineStr">
        <is>
          <t>Igelkott</t>
        </is>
      </c>
      <c r="S349">
        <f>HYPERLINK("https://klasma.github.io/Logging_1290/artfynd/A 53189-2025 artfynd.xlsx", "A 53189-2025")</f>
        <v/>
      </c>
      <c r="T349">
        <f>HYPERLINK("https://klasma.github.io/Logging_1290/kartor/A 53189-2025 karta.png", "A 53189-2025")</f>
        <v/>
      </c>
      <c r="V349">
        <f>HYPERLINK("https://klasma.github.io/Logging_1290/klagomål/A 53189-2025 FSC-klagomål.docx", "A 53189-2025")</f>
        <v/>
      </c>
      <c r="W349">
        <f>HYPERLINK("https://klasma.github.io/Logging_1290/klagomålsmail/A 53189-2025 FSC-klagomål mail.docx", "A 53189-2025")</f>
        <v/>
      </c>
      <c r="X349">
        <f>HYPERLINK("https://klasma.github.io/Logging_1290/tillsyn/A 53189-2025 tillsynsbegäran.docx", "A 53189-2025")</f>
        <v/>
      </c>
      <c r="Y349">
        <f>HYPERLINK("https://klasma.github.io/Logging_1290/tillsynsmail/A 53189-2025 tillsynsbegäran mail.docx", "A 53189-2025")</f>
        <v/>
      </c>
    </row>
    <row r="350" ht="15" customHeight="1">
      <c r="A350" t="inlineStr">
        <is>
          <t>A 44788-2025</t>
        </is>
      </c>
      <c r="B350" s="1" t="n">
        <v>45918.29126157407</v>
      </c>
      <c r="C350" s="1" t="n">
        <v>45962</v>
      </c>
      <c r="D350" t="inlineStr">
        <is>
          <t>SKÅNE LÄN</t>
        </is>
      </c>
      <c r="E350" t="inlineStr">
        <is>
          <t>ÖSTRA GÖINGE</t>
        </is>
      </c>
      <c r="G350" t="n">
        <v>1.1</v>
      </c>
      <c r="H350" t="n">
        <v>0</v>
      </c>
      <c r="I350" t="n">
        <v>1</v>
      </c>
      <c r="J350" t="n">
        <v>0</v>
      </c>
      <c r="K350" t="n">
        <v>0</v>
      </c>
      <c r="L350" t="n">
        <v>0</v>
      </c>
      <c r="M350" t="n">
        <v>0</v>
      </c>
      <c r="N350" t="n">
        <v>0</v>
      </c>
      <c r="O350" t="n">
        <v>0</v>
      </c>
      <c r="P350" t="n">
        <v>0</v>
      </c>
      <c r="Q350" t="n">
        <v>1</v>
      </c>
      <c r="R350" s="2" t="inlineStr">
        <is>
          <t>Havstulpanlav</t>
        </is>
      </c>
      <c r="S350">
        <f>HYPERLINK("https://klasma.github.io/Logging_1256/artfynd/A 44788-2025 artfynd.xlsx", "A 44788-2025")</f>
        <v/>
      </c>
      <c r="T350">
        <f>HYPERLINK("https://klasma.github.io/Logging_1256/kartor/A 44788-2025 karta.png", "A 44788-2025")</f>
        <v/>
      </c>
      <c r="V350">
        <f>HYPERLINK("https://klasma.github.io/Logging_1256/klagomål/A 44788-2025 FSC-klagomål.docx", "A 44788-2025")</f>
        <v/>
      </c>
      <c r="W350">
        <f>HYPERLINK("https://klasma.github.io/Logging_1256/klagomålsmail/A 44788-2025 FSC-klagomål mail.docx", "A 44788-2025")</f>
        <v/>
      </c>
      <c r="X350">
        <f>HYPERLINK("https://klasma.github.io/Logging_1256/tillsyn/A 44788-2025 tillsynsbegäran.docx", "A 44788-2025")</f>
        <v/>
      </c>
      <c r="Y350">
        <f>HYPERLINK("https://klasma.github.io/Logging_1256/tillsynsmail/A 44788-2025 tillsynsbegäran mail.docx", "A 44788-2025")</f>
        <v/>
      </c>
    </row>
    <row r="351" ht="15" customHeight="1">
      <c r="A351" t="inlineStr">
        <is>
          <t>A 19308-2021</t>
        </is>
      </c>
      <c r="B351" s="1" t="n">
        <v>44309.50596064814</v>
      </c>
      <c r="C351" s="1" t="n">
        <v>45962</v>
      </c>
      <c r="D351" t="inlineStr">
        <is>
          <t>SKÅNE LÄN</t>
        </is>
      </c>
      <c r="E351" t="inlineStr">
        <is>
          <t>HÖRBY</t>
        </is>
      </c>
      <c r="G351" t="n">
        <v>0.8</v>
      </c>
      <c r="H351" t="n">
        <v>0</v>
      </c>
      <c r="I351" t="n">
        <v>0</v>
      </c>
      <c r="J351" t="n">
        <v>0</v>
      </c>
      <c r="K351" t="n">
        <v>0</v>
      </c>
      <c r="L351" t="n">
        <v>0</v>
      </c>
      <c r="M351" t="n">
        <v>0</v>
      </c>
      <c r="N351" t="n">
        <v>0</v>
      </c>
      <c r="O351" t="n">
        <v>0</v>
      </c>
      <c r="P351" t="n">
        <v>0</v>
      </c>
      <c r="Q351" t="n">
        <v>0</v>
      </c>
      <c r="R351" s="2" t="inlineStr"/>
    </row>
    <row r="352" ht="15" customHeight="1">
      <c r="A352" t="inlineStr">
        <is>
          <t>A 37457-2022</t>
        </is>
      </c>
      <c r="B352" s="1" t="n">
        <v>44809</v>
      </c>
      <c r="C352" s="1" t="n">
        <v>45962</v>
      </c>
      <c r="D352" t="inlineStr">
        <is>
          <t>SKÅNE LÄN</t>
        </is>
      </c>
      <c r="E352" t="inlineStr">
        <is>
          <t>HÄSSLEHOLM</t>
        </is>
      </c>
      <c r="G352" t="n">
        <v>2.4</v>
      </c>
      <c r="H352" t="n">
        <v>0</v>
      </c>
      <c r="I352" t="n">
        <v>0</v>
      </c>
      <c r="J352" t="n">
        <v>0</v>
      </c>
      <c r="K352" t="n">
        <v>0</v>
      </c>
      <c r="L352" t="n">
        <v>0</v>
      </c>
      <c r="M352" t="n">
        <v>0</v>
      </c>
      <c r="N352" t="n">
        <v>0</v>
      </c>
      <c r="O352" t="n">
        <v>0</v>
      </c>
      <c r="P352" t="n">
        <v>0</v>
      </c>
      <c r="Q352" t="n">
        <v>0</v>
      </c>
      <c r="R352" s="2" t="inlineStr"/>
    </row>
    <row r="353" ht="15" customHeight="1">
      <c r="A353" t="inlineStr">
        <is>
          <t>A 1620-2021</t>
        </is>
      </c>
      <c r="B353" s="1" t="n">
        <v>44209</v>
      </c>
      <c r="C353" s="1" t="n">
        <v>45962</v>
      </c>
      <c r="D353" t="inlineStr">
        <is>
          <t>SKÅNE LÄN</t>
        </is>
      </c>
      <c r="E353" t="inlineStr">
        <is>
          <t>ÄNGELHOLM</t>
        </is>
      </c>
      <c r="G353" t="n">
        <v>2.2</v>
      </c>
      <c r="H353" t="n">
        <v>0</v>
      </c>
      <c r="I353" t="n">
        <v>0</v>
      </c>
      <c r="J353" t="n">
        <v>0</v>
      </c>
      <c r="K353" t="n">
        <v>0</v>
      </c>
      <c r="L353" t="n">
        <v>0</v>
      </c>
      <c r="M353" t="n">
        <v>0</v>
      </c>
      <c r="N353" t="n">
        <v>0</v>
      </c>
      <c r="O353" t="n">
        <v>0</v>
      </c>
      <c r="P353" t="n">
        <v>0</v>
      </c>
      <c r="Q353" t="n">
        <v>0</v>
      </c>
      <c r="R353" s="2" t="inlineStr"/>
    </row>
    <row r="354" ht="15" customHeight="1">
      <c r="A354" t="inlineStr">
        <is>
          <t>A 7655-2021</t>
        </is>
      </c>
      <c r="B354" s="1" t="n">
        <v>44242</v>
      </c>
      <c r="C354" s="1" t="n">
        <v>45962</v>
      </c>
      <c r="D354" t="inlineStr">
        <is>
          <t>SKÅNE LÄN</t>
        </is>
      </c>
      <c r="E354" t="inlineStr">
        <is>
          <t>HÄSSLEHOLM</t>
        </is>
      </c>
      <c r="G354" t="n">
        <v>0.8</v>
      </c>
      <c r="H354" t="n">
        <v>0</v>
      </c>
      <c r="I354" t="n">
        <v>0</v>
      </c>
      <c r="J354" t="n">
        <v>0</v>
      </c>
      <c r="K354" t="n">
        <v>0</v>
      </c>
      <c r="L354" t="n">
        <v>0</v>
      </c>
      <c r="M354" t="n">
        <v>0</v>
      </c>
      <c r="N354" t="n">
        <v>0</v>
      </c>
      <c r="O354" t="n">
        <v>0</v>
      </c>
      <c r="P354" t="n">
        <v>0</v>
      </c>
      <c r="Q354" t="n">
        <v>0</v>
      </c>
      <c r="R354" s="2" t="inlineStr"/>
    </row>
    <row r="355" ht="15" customHeight="1">
      <c r="A355" t="inlineStr">
        <is>
          <t>A 2787-2021</t>
        </is>
      </c>
      <c r="B355" s="1" t="n">
        <v>44215</v>
      </c>
      <c r="C355" s="1" t="n">
        <v>45962</v>
      </c>
      <c r="D355" t="inlineStr">
        <is>
          <t>SKÅNE LÄN</t>
        </is>
      </c>
      <c r="E355" t="inlineStr">
        <is>
          <t>ÖRKELLJUNGA</t>
        </is>
      </c>
      <c r="G355" t="n">
        <v>2.3</v>
      </c>
      <c r="H355" t="n">
        <v>0</v>
      </c>
      <c r="I355" t="n">
        <v>0</v>
      </c>
      <c r="J355" t="n">
        <v>0</v>
      </c>
      <c r="K355" t="n">
        <v>0</v>
      </c>
      <c r="L355" t="n">
        <v>0</v>
      </c>
      <c r="M355" t="n">
        <v>0</v>
      </c>
      <c r="N355" t="n">
        <v>0</v>
      </c>
      <c r="O355" t="n">
        <v>0</v>
      </c>
      <c r="P355" t="n">
        <v>0</v>
      </c>
      <c r="Q355" t="n">
        <v>0</v>
      </c>
      <c r="R355" s="2" t="inlineStr"/>
    </row>
    <row r="356" ht="15" customHeight="1">
      <c r="A356" t="inlineStr">
        <is>
          <t>A 2788-2021</t>
        </is>
      </c>
      <c r="B356" s="1" t="n">
        <v>44215.67291666667</v>
      </c>
      <c r="C356" s="1" t="n">
        <v>45962</v>
      </c>
      <c r="D356" t="inlineStr">
        <is>
          <t>SKÅNE LÄN</t>
        </is>
      </c>
      <c r="E356" t="inlineStr">
        <is>
          <t>ÖRKELLJUNGA</t>
        </is>
      </c>
      <c r="G356" t="n">
        <v>0.7</v>
      </c>
      <c r="H356" t="n">
        <v>0</v>
      </c>
      <c r="I356" t="n">
        <v>0</v>
      </c>
      <c r="J356" t="n">
        <v>0</v>
      </c>
      <c r="K356" t="n">
        <v>0</v>
      </c>
      <c r="L356" t="n">
        <v>0</v>
      </c>
      <c r="M356" t="n">
        <v>0</v>
      </c>
      <c r="N356" t="n">
        <v>0</v>
      </c>
      <c r="O356" t="n">
        <v>0</v>
      </c>
      <c r="P356" t="n">
        <v>0</v>
      </c>
      <c r="Q356" t="n">
        <v>0</v>
      </c>
      <c r="R356" s="2" t="inlineStr"/>
    </row>
    <row r="357" ht="15" customHeight="1">
      <c r="A357" t="inlineStr">
        <is>
          <t>A 5678-2021</t>
        </is>
      </c>
      <c r="B357" s="1" t="n">
        <v>44230</v>
      </c>
      <c r="C357" s="1" t="n">
        <v>45962</v>
      </c>
      <c r="D357" t="inlineStr">
        <is>
          <t>SKÅNE LÄN</t>
        </is>
      </c>
      <c r="E357" t="inlineStr">
        <is>
          <t>ÖRKELLJUNGA</t>
        </is>
      </c>
      <c r="G357" t="n">
        <v>3.7</v>
      </c>
      <c r="H357" t="n">
        <v>0</v>
      </c>
      <c r="I357" t="n">
        <v>0</v>
      </c>
      <c r="J357" t="n">
        <v>0</v>
      </c>
      <c r="K357" t="n">
        <v>0</v>
      </c>
      <c r="L357" t="n">
        <v>0</v>
      </c>
      <c r="M357" t="n">
        <v>0</v>
      </c>
      <c r="N357" t="n">
        <v>0</v>
      </c>
      <c r="O357" t="n">
        <v>0</v>
      </c>
      <c r="P357" t="n">
        <v>0</v>
      </c>
      <c r="Q357" t="n">
        <v>0</v>
      </c>
      <c r="R357" s="2" t="inlineStr"/>
    </row>
    <row r="358" ht="15" customHeight="1">
      <c r="A358" t="inlineStr">
        <is>
          <t>A 44060-2022</t>
        </is>
      </c>
      <c r="B358" s="1" t="n">
        <v>44839</v>
      </c>
      <c r="C358" s="1" t="n">
        <v>45962</v>
      </c>
      <c r="D358" t="inlineStr">
        <is>
          <t>SKÅNE LÄN</t>
        </is>
      </c>
      <c r="E358" t="inlineStr">
        <is>
          <t>ÄNGELHOLM</t>
        </is>
      </c>
      <c r="G358" t="n">
        <v>0.5</v>
      </c>
      <c r="H358" t="n">
        <v>0</v>
      </c>
      <c r="I358" t="n">
        <v>0</v>
      </c>
      <c r="J358" t="n">
        <v>0</v>
      </c>
      <c r="K358" t="n">
        <v>0</v>
      </c>
      <c r="L358" t="n">
        <v>0</v>
      </c>
      <c r="M358" t="n">
        <v>0</v>
      </c>
      <c r="N358" t="n">
        <v>0</v>
      </c>
      <c r="O358" t="n">
        <v>0</v>
      </c>
      <c r="P358" t="n">
        <v>0</v>
      </c>
      <c r="Q358" t="n">
        <v>0</v>
      </c>
      <c r="R358" s="2" t="inlineStr"/>
    </row>
    <row r="359" ht="15" customHeight="1">
      <c r="A359" t="inlineStr">
        <is>
          <t>A 66668-2020</t>
        </is>
      </c>
      <c r="B359" s="1" t="n">
        <v>44179</v>
      </c>
      <c r="C359" s="1" t="n">
        <v>45962</v>
      </c>
      <c r="D359" t="inlineStr">
        <is>
          <t>SKÅNE LÄN</t>
        </is>
      </c>
      <c r="E359" t="inlineStr">
        <is>
          <t>PERSTORP</t>
        </is>
      </c>
      <c r="F359" t="inlineStr">
        <is>
          <t>Kyrkan</t>
        </is>
      </c>
      <c r="G359" t="n">
        <v>3.4</v>
      </c>
      <c r="H359" t="n">
        <v>0</v>
      </c>
      <c r="I359" t="n">
        <v>0</v>
      </c>
      <c r="J359" t="n">
        <v>0</v>
      </c>
      <c r="K359" t="n">
        <v>0</v>
      </c>
      <c r="L359" t="n">
        <v>0</v>
      </c>
      <c r="M359" t="n">
        <v>0</v>
      </c>
      <c r="N359" t="n">
        <v>0</v>
      </c>
      <c r="O359" t="n">
        <v>0</v>
      </c>
      <c r="P359" t="n">
        <v>0</v>
      </c>
      <c r="Q359" t="n">
        <v>0</v>
      </c>
      <c r="R359" s="2" t="inlineStr"/>
    </row>
    <row r="360" ht="15" customHeight="1">
      <c r="A360" t="inlineStr">
        <is>
          <t>A 17318-2021</t>
        </is>
      </c>
      <c r="B360" s="1" t="n">
        <v>44298</v>
      </c>
      <c r="C360" s="1" t="n">
        <v>45962</v>
      </c>
      <c r="D360" t="inlineStr">
        <is>
          <t>SKÅNE LÄN</t>
        </is>
      </c>
      <c r="E360" t="inlineStr">
        <is>
          <t>ÖRKELLJUNGA</t>
        </is>
      </c>
      <c r="F360" t="inlineStr">
        <is>
          <t>Kommuner</t>
        </is>
      </c>
      <c r="G360" t="n">
        <v>0.5</v>
      </c>
      <c r="H360" t="n">
        <v>0</v>
      </c>
      <c r="I360" t="n">
        <v>0</v>
      </c>
      <c r="J360" t="n">
        <v>0</v>
      </c>
      <c r="K360" t="n">
        <v>0</v>
      </c>
      <c r="L360" t="n">
        <v>0</v>
      </c>
      <c r="M360" t="n">
        <v>0</v>
      </c>
      <c r="N360" t="n">
        <v>0</v>
      </c>
      <c r="O360" t="n">
        <v>0</v>
      </c>
      <c r="P360" t="n">
        <v>0</v>
      </c>
      <c r="Q360" t="n">
        <v>0</v>
      </c>
      <c r="R360" s="2" t="inlineStr"/>
    </row>
    <row r="361" ht="15" customHeight="1">
      <c r="A361" t="inlineStr">
        <is>
          <t>A 69463-2020</t>
        </is>
      </c>
      <c r="B361" s="1" t="n">
        <v>44193</v>
      </c>
      <c r="C361" s="1" t="n">
        <v>45962</v>
      </c>
      <c r="D361" t="inlineStr">
        <is>
          <t>SKÅNE LÄN</t>
        </is>
      </c>
      <c r="E361" t="inlineStr">
        <is>
          <t>ÖSTRA GÖINGE</t>
        </is>
      </c>
      <c r="G361" t="n">
        <v>22.9</v>
      </c>
      <c r="H361" t="n">
        <v>0</v>
      </c>
      <c r="I361" t="n">
        <v>0</v>
      </c>
      <c r="J361" t="n">
        <v>0</v>
      </c>
      <c r="K361" t="n">
        <v>0</v>
      </c>
      <c r="L361" t="n">
        <v>0</v>
      </c>
      <c r="M361" t="n">
        <v>0</v>
      </c>
      <c r="N361" t="n">
        <v>0</v>
      </c>
      <c r="O361" t="n">
        <v>0</v>
      </c>
      <c r="P361" t="n">
        <v>0</v>
      </c>
      <c r="Q361" t="n">
        <v>0</v>
      </c>
      <c r="R361" s="2" t="inlineStr"/>
    </row>
    <row r="362" ht="15" customHeight="1">
      <c r="A362" t="inlineStr">
        <is>
          <t>A 55618-2022</t>
        </is>
      </c>
      <c r="B362" s="1" t="n">
        <v>44883</v>
      </c>
      <c r="C362" s="1" t="n">
        <v>45962</v>
      </c>
      <c r="D362" t="inlineStr">
        <is>
          <t>SKÅNE LÄN</t>
        </is>
      </c>
      <c r="E362" t="inlineStr">
        <is>
          <t>HÄSSLEHOLM</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55629-2022</t>
        </is>
      </c>
      <c r="B363" s="1" t="n">
        <v>44883</v>
      </c>
      <c r="C363" s="1" t="n">
        <v>45962</v>
      </c>
      <c r="D363" t="inlineStr">
        <is>
          <t>SKÅNE LÄN</t>
        </is>
      </c>
      <c r="E363" t="inlineStr">
        <is>
          <t>KLIPPAN</t>
        </is>
      </c>
      <c r="F363" t="inlineStr">
        <is>
          <t>Övriga Aktiebolag</t>
        </is>
      </c>
      <c r="G363" t="n">
        <v>0.7</v>
      </c>
      <c r="H363" t="n">
        <v>0</v>
      </c>
      <c r="I363" t="n">
        <v>0</v>
      </c>
      <c r="J363" t="n">
        <v>0</v>
      </c>
      <c r="K363" t="n">
        <v>0</v>
      </c>
      <c r="L363" t="n">
        <v>0</v>
      </c>
      <c r="M363" t="n">
        <v>0</v>
      </c>
      <c r="N363" t="n">
        <v>0</v>
      </c>
      <c r="O363" t="n">
        <v>0</v>
      </c>
      <c r="P363" t="n">
        <v>0</v>
      </c>
      <c r="Q363" t="n">
        <v>0</v>
      </c>
      <c r="R363" s="2" t="inlineStr"/>
    </row>
    <row r="364" ht="15" customHeight="1">
      <c r="A364" t="inlineStr">
        <is>
          <t>A 8201-2021</t>
        </is>
      </c>
      <c r="B364" s="1" t="n">
        <v>44244</v>
      </c>
      <c r="C364" s="1" t="n">
        <v>45962</v>
      </c>
      <c r="D364" t="inlineStr">
        <is>
          <t>SKÅNE LÄN</t>
        </is>
      </c>
      <c r="E364" t="inlineStr">
        <is>
          <t>SVALÖV</t>
        </is>
      </c>
      <c r="G364" t="n">
        <v>0.4</v>
      </c>
      <c r="H364" t="n">
        <v>0</v>
      </c>
      <c r="I364" t="n">
        <v>0</v>
      </c>
      <c r="J364" t="n">
        <v>0</v>
      </c>
      <c r="K364" t="n">
        <v>0</v>
      </c>
      <c r="L364" t="n">
        <v>0</v>
      </c>
      <c r="M364" t="n">
        <v>0</v>
      </c>
      <c r="N364" t="n">
        <v>0</v>
      </c>
      <c r="O364" t="n">
        <v>0</v>
      </c>
      <c r="P364" t="n">
        <v>0</v>
      </c>
      <c r="Q364" t="n">
        <v>0</v>
      </c>
      <c r="R364" s="2" t="inlineStr"/>
    </row>
    <row r="365" ht="15" customHeight="1">
      <c r="A365" t="inlineStr">
        <is>
          <t>A 64342-2020</t>
        </is>
      </c>
      <c r="B365" s="1" t="n">
        <v>44168</v>
      </c>
      <c r="C365" s="1" t="n">
        <v>45962</v>
      </c>
      <c r="D365" t="inlineStr">
        <is>
          <t>SKÅNE LÄN</t>
        </is>
      </c>
      <c r="E365" t="inlineStr">
        <is>
          <t>HÄSSLEHOLM</t>
        </is>
      </c>
      <c r="G365" t="n">
        <v>4.1</v>
      </c>
      <c r="H365" t="n">
        <v>0</v>
      </c>
      <c r="I365" t="n">
        <v>0</v>
      </c>
      <c r="J365" t="n">
        <v>0</v>
      </c>
      <c r="K365" t="n">
        <v>0</v>
      </c>
      <c r="L365" t="n">
        <v>0</v>
      </c>
      <c r="M365" t="n">
        <v>0</v>
      </c>
      <c r="N365" t="n">
        <v>0</v>
      </c>
      <c r="O365" t="n">
        <v>0</v>
      </c>
      <c r="P365" t="n">
        <v>0</v>
      </c>
      <c r="Q365" t="n">
        <v>0</v>
      </c>
      <c r="R365" s="2" t="inlineStr"/>
    </row>
    <row r="366" ht="15" customHeight="1">
      <c r="A366" t="inlineStr">
        <is>
          <t>A 16189-2021</t>
        </is>
      </c>
      <c r="B366" s="1" t="n">
        <v>44287</v>
      </c>
      <c r="C366" s="1" t="n">
        <v>45962</v>
      </c>
      <c r="D366" t="inlineStr">
        <is>
          <t>SKÅNE LÄN</t>
        </is>
      </c>
      <c r="E366" t="inlineStr">
        <is>
          <t>KLIPPAN</t>
        </is>
      </c>
      <c r="F366" t="inlineStr">
        <is>
          <t>Övriga Aktiebolag</t>
        </is>
      </c>
      <c r="G366" t="n">
        <v>2.1</v>
      </c>
      <c r="H366" t="n">
        <v>0</v>
      </c>
      <c r="I366" t="n">
        <v>0</v>
      </c>
      <c r="J366" t="n">
        <v>0</v>
      </c>
      <c r="K366" t="n">
        <v>0</v>
      </c>
      <c r="L366" t="n">
        <v>0</v>
      </c>
      <c r="M366" t="n">
        <v>0</v>
      </c>
      <c r="N366" t="n">
        <v>0</v>
      </c>
      <c r="O366" t="n">
        <v>0</v>
      </c>
      <c r="P366" t="n">
        <v>0</v>
      </c>
      <c r="Q366" t="n">
        <v>0</v>
      </c>
      <c r="R366" s="2" t="inlineStr"/>
    </row>
    <row r="367" ht="15" customHeight="1">
      <c r="A367" t="inlineStr">
        <is>
          <t>A 49450-2021</t>
        </is>
      </c>
      <c r="B367" s="1" t="n">
        <v>44454.67208333333</v>
      </c>
      <c r="C367" s="1" t="n">
        <v>45962</v>
      </c>
      <c r="D367" t="inlineStr">
        <is>
          <t>SKÅNE LÄN</t>
        </is>
      </c>
      <c r="E367" t="inlineStr">
        <is>
          <t>HÄSSLEHOLM</t>
        </is>
      </c>
      <c r="G367" t="n">
        <v>3</v>
      </c>
      <c r="H367" t="n">
        <v>0</v>
      </c>
      <c r="I367" t="n">
        <v>0</v>
      </c>
      <c r="J367" t="n">
        <v>0</v>
      </c>
      <c r="K367" t="n">
        <v>0</v>
      </c>
      <c r="L367" t="n">
        <v>0</v>
      </c>
      <c r="M367" t="n">
        <v>0</v>
      </c>
      <c r="N367" t="n">
        <v>0</v>
      </c>
      <c r="O367" t="n">
        <v>0</v>
      </c>
      <c r="P367" t="n">
        <v>0</v>
      </c>
      <c r="Q367" t="n">
        <v>0</v>
      </c>
      <c r="R367" s="2" t="inlineStr"/>
    </row>
    <row r="368" ht="15" customHeight="1">
      <c r="A368" t="inlineStr">
        <is>
          <t>A 1124-2021</t>
        </is>
      </c>
      <c r="B368" s="1" t="n">
        <v>44207.61706018518</v>
      </c>
      <c r="C368" s="1" t="n">
        <v>45962</v>
      </c>
      <c r="D368" t="inlineStr">
        <is>
          <t>SKÅNE LÄN</t>
        </is>
      </c>
      <c r="E368" t="inlineStr">
        <is>
          <t>ÖRKELLJUNGA</t>
        </is>
      </c>
      <c r="G368" t="n">
        <v>1.1</v>
      </c>
      <c r="H368" t="n">
        <v>0</v>
      </c>
      <c r="I368" t="n">
        <v>0</v>
      </c>
      <c r="J368" t="n">
        <v>0</v>
      </c>
      <c r="K368" t="n">
        <v>0</v>
      </c>
      <c r="L368" t="n">
        <v>0</v>
      </c>
      <c r="M368" t="n">
        <v>0</v>
      </c>
      <c r="N368" t="n">
        <v>0</v>
      </c>
      <c r="O368" t="n">
        <v>0</v>
      </c>
      <c r="P368" t="n">
        <v>0</v>
      </c>
      <c r="Q368" t="n">
        <v>0</v>
      </c>
      <c r="R368" s="2" t="inlineStr"/>
    </row>
    <row r="369" ht="15" customHeight="1">
      <c r="A369" t="inlineStr">
        <is>
          <t>A 69273-2020</t>
        </is>
      </c>
      <c r="B369" s="1" t="n">
        <v>44193</v>
      </c>
      <c r="C369" s="1" t="n">
        <v>45962</v>
      </c>
      <c r="D369" t="inlineStr">
        <is>
          <t>SKÅNE LÄN</t>
        </is>
      </c>
      <c r="E369" t="inlineStr">
        <is>
          <t>KRISTIANSTAD</t>
        </is>
      </c>
      <c r="G369" t="n">
        <v>0.2</v>
      </c>
      <c r="H369" t="n">
        <v>0</v>
      </c>
      <c r="I369" t="n">
        <v>0</v>
      </c>
      <c r="J369" t="n">
        <v>0</v>
      </c>
      <c r="K369" t="n">
        <v>0</v>
      </c>
      <c r="L369" t="n">
        <v>0</v>
      </c>
      <c r="M369" t="n">
        <v>0</v>
      </c>
      <c r="N369" t="n">
        <v>0</v>
      </c>
      <c r="O369" t="n">
        <v>0</v>
      </c>
      <c r="P369" t="n">
        <v>0</v>
      </c>
      <c r="Q369" t="n">
        <v>0</v>
      </c>
      <c r="R369" s="2" t="inlineStr"/>
    </row>
    <row r="370" ht="15" customHeight="1">
      <c r="A370" t="inlineStr">
        <is>
          <t>A 49-2021</t>
        </is>
      </c>
      <c r="B370" s="1" t="n">
        <v>44199</v>
      </c>
      <c r="C370" s="1" t="n">
        <v>45962</v>
      </c>
      <c r="D370" t="inlineStr">
        <is>
          <t>SKÅNE LÄN</t>
        </is>
      </c>
      <c r="E370" t="inlineStr">
        <is>
          <t>KRISTIANSTAD</t>
        </is>
      </c>
      <c r="G370" t="n">
        <v>0.7</v>
      </c>
      <c r="H370" t="n">
        <v>0</v>
      </c>
      <c r="I370" t="n">
        <v>0</v>
      </c>
      <c r="J370" t="n">
        <v>0</v>
      </c>
      <c r="K370" t="n">
        <v>0</v>
      </c>
      <c r="L370" t="n">
        <v>0</v>
      </c>
      <c r="M370" t="n">
        <v>0</v>
      </c>
      <c r="N370" t="n">
        <v>0</v>
      </c>
      <c r="O370" t="n">
        <v>0</v>
      </c>
      <c r="P370" t="n">
        <v>0</v>
      </c>
      <c r="Q370" t="n">
        <v>0</v>
      </c>
      <c r="R370" s="2" t="inlineStr"/>
    </row>
    <row r="371" ht="15" customHeight="1">
      <c r="A371" t="inlineStr">
        <is>
          <t>A 22411-2021</t>
        </is>
      </c>
      <c r="B371" s="1" t="n">
        <v>44326</v>
      </c>
      <c r="C371" s="1" t="n">
        <v>45962</v>
      </c>
      <c r="D371" t="inlineStr">
        <is>
          <t>SKÅNE LÄN</t>
        </is>
      </c>
      <c r="E371" t="inlineStr">
        <is>
          <t>LUND</t>
        </is>
      </c>
      <c r="F371" t="inlineStr">
        <is>
          <t>Kommuner</t>
        </is>
      </c>
      <c r="G371" t="n">
        <v>3.4</v>
      </c>
      <c r="H371" t="n">
        <v>0</v>
      </c>
      <c r="I371" t="n">
        <v>0</v>
      </c>
      <c r="J371" t="n">
        <v>0</v>
      </c>
      <c r="K371" t="n">
        <v>0</v>
      </c>
      <c r="L371" t="n">
        <v>0</v>
      </c>
      <c r="M371" t="n">
        <v>0</v>
      </c>
      <c r="N371" t="n">
        <v>0</v>
      </c>
      <c r="O371" t="n">
        <v>0</v>
      </c>
      <c r="P371" t="n">
        <v>0</v>
      </c>
      <c r="Q371" t="n">
        <v>0</v>
      </c>
      <c r="R371" s="2" t="inlineStr"/>
    </row>
    <row r="372" ht="15" customHeight="1">
      <c r="A372" t="inlineStr">
        <is>
          <t>A 67778-2020</t>
        </is>
      </c>
      <c r="B372" s="1" t="n">
        <v>44182</v>
      </c>
      <c r="C372" s="1" t="n">
        <v>45962</v>
      </c>
      <c r="D372" t="inlineStr">
        <is>
          <t>SKÅNE LÄN</t>
        </is>
      </c>
      <c r="E372" t="inlineStr">
        <is>
          <t>SVEDALA</t>
        </is>
      </c>
      <c r="G372" t="n">
        <v>0.5</v>
      </c>
      <c r="H372" t="n">
        <v>0</v>
      </c>
      <c r="I372" t="n">
        <v>0</v>
      </c>
      <c r="J372" t="n">
        <v>0</v>
      </c>
      <c r="K372" t="n">
        <v>0</v>
      </c>
      <c r="L372" t="n">
        <v>0</v>
      </c>
      <c r="M372" t="n">
        <v>0</v>
      </c>
      <c r="N372" t="n">
        <v>0</v>
      </c>
      <c r="O372" t="n">
        <v>0</v>
      </c>
      <c r="P372" t="n">
        <v>0</v>
      </c>
      <c r="Q372" t="n">
        <v>0</v>
      </c>
      <c r="R372" s="2" t="inlineStr"/>
    </row>
    <row r="373" ht="15" customHeight="1">
      <c r="A373" t="inlineStr">
        <is>
          <t>A 54178-2021</t>
        </is>
      </c>
      <c r="B373" s="1" t="n">
        <v>44470</v>
      </c>
      <c r="C373" s="1" t="n">
        <v>45962</v>
      </c>
      <c r="D373" t="inlineStr">
        <is>
          <t>SKÅNE LÄN</t>
        </is>
      </c>
      <c r="E373" t="inlineStr">
        <is>
          <t>HÄSSLEHOLM</t>
        </is>
      </c>
      <c r="G373" t="n">
        <v>2.3</v>
      </c>
      <c r="H373" t="n">
        <v>0</v>
      </c>
      <c r="I373" t="n">
        <v>0</v>
      </c>
      <c r="J373" t="n">
        <v>0</v>
      </c>
      <c r="K373" t="n">
        <v>0</v>
      </c>
      <c r="L373" t="n">
        <v>0</v>
      </c>
      <c r="M373" t="n">
        <v>0</v>
      </c>
      <c r="N373" t="n">
        <v>0</v>
      </c>
      <c r="O373" t="n">
        <v>0</v>
      </c>
      <c r="P373" t="n">
        <v>0</v>
      </c>
      <c r="Q373" t="n">
        <v>0</v>
      </c>
      <c r="R373" s="2" t="inlineStr"/>
    </row>
    <row r="374" ht="15" customHeight="1">
      <c r="A374" t="inlineStr">
        <is>
          <t>A 18011-2021</t>
        </is>
      </c>
      <c r="B374" s="1" t="n">
        <v>44302.28030092592</v>
      </c>
      <c r="C374" s="1" t="n">
        <v>45962</v>
      </c>
      <c r="D374" t="inlineStr">
        <is>
          <t>SKÅNE LÄN</t>
        </is>
      </c>
      <c r="E374" t="inlineStr">
        <is>
          <t>HÄSSLEHOLM</t>
        </is>
      </c>
      <c r="G374" t="n">
        <v>0.4</v>
      </c>
      <c r="H374" t="n">
        <v>0</v>
      </c>
      <c r="I374" t="n">
        <v>0</v>
      </c>
      <c r="J374" t="n">
        <v>0</v>
      </c>
      <c r="K374" t="n">
        <v>0</v>
      </c>
      <c r="L374" t="n">
        <v>0</v>
      </c>
      <c r="M374" t="n">
        <v>0</v>
      </c>
      <c r="N374" t="n">
        <v>0</v>
      </c>
      <c r="O374" t="n">
        <v>0</v>
      </c>
      <c r="P374" t="n">
        <v>0</v>
      </c>
      <c r="Q374" t="n">
        <v>0</v>
      </c>
      <c r="R374" s="2" t="inlineStr"/>
    </row>
    <row r="375" ht="15" customHeight="1">
      <c r="A375" t="inlineStr">
        <is>
          <t>A 17916-2021</t>
        </is>
      </c>
      <c r="B375" s="1" t="n">
        <v>44301</v>
      </c>
      <c r="C375" s="1" t="n">
        <v>45962</v>
      </c>
      <c r="D375" t="inlineStr">
        <is>
          <t>SKÅNE LÄN</t>
        </is>
      </c>
      <c r="E375" t="inlineStr">
        <is>
          <t>SJÖBO</t>
        </is>
      </c>
      <c r="G375" t="n">
        <v>0.9</v>
      </c>
      <c r="H375" t="n">
        <v>0</v>
      </c>
      <c r="I375" t="n">
        <v>0</v>
      </c>
      <c r="J375" t="n">
        <v>0</v>
      </c>
      <c r="K375" t="n">
        <v>0</v>
      </c>
      <c r="L375" t="n">
        <v>0</v>
      </c>
      <c r="M375" t="n">
        <v>0</v>
      </c>
      <c r="N375" t="n">
        <v>0</v>
      </c>
      <c r="O375" t="n">
        <v>0</v>
      </c>
      <c r="P375" t="n">
        <v>0</v>
      </c>
      <c r="Q375" t="n">
        <v>0</v>
      </c>
      <c r="R375" s="2" t="inlineStr"/>
    </row>
    <row r="376" ht="15" customHeight="1">
      <c r="A376" t="inlineStr">
        <is>
          <t>A 1694-2022</t>
        </is>
      </c>
      <c r="B376" s="1" t="n">
        <v>44574</v>
      </c>
      <c r="C376" s="1" t="n">
        <v>45962</v>
      </c>
      <c r="D376" t="inlineStr">
        <is>
          <t>SKÅNE LÄN</t>
        </is>
      </c>
      <c r="E376" t="inlineStr">
        <is>
          <t>KRISTIANSTAD</t>
        </is>
      </c>
      <c r="G376" t="n">
        <v>0.4</v>
      </c>
      <c r="H376" t="n">
        <v>0</v>
      </c>
      <c r="I376" t="n">
        <v>0</v>
      </c>
      <c r="J376" t="n">
        <v>0</v>
      </c>
      <c r="K376" t="n">
        <v>0</v>
      </c>
      <c r="L376" t="n">
        <v>0</v>
      </c>
      <c r="M376" t="n">
        <v>0</v>
      </c>
      <c r="N376" t="n">
        <v>0</v>
      </c>
      <c r="O376" t="n">
        <v>0</v>
      </c>
      <c r="P376" t="n">
        <v>0</v>
      </c>
      <c r="Q376" t="n">
        <v>0</v>
      </c>
      <c r="R376" s="2" t="inlineStr"/>
    </row>
    <row r="377" ht="15" customHeight="1">
      <c r="A377" t="inlineStr">
        <is>
          <t>A 63913-2021</t>
        </is>
      </c>
      <c r="B377" s="1" t="n">
        <v>44509</v>
      </c>
      <c r="C377" s="1" t="n">
        <v>45962</v>
      </c>
      <c r="D377" t="inlineStr">
        <is>
          <t>SKÅNE LÄN</t>
        </is>
      </c>
      <c r="E377" t="inlineStr">
        <is>
          <t>HÖRBY</t>
        </is>
      </c>
      <c r="G377" t="n">
        <v>0.7</v>
      </c>
      <c r="H377" t="n">
        <v>0</v>
      </c>
      <c r="I377" t="n">
        <v>0</v>
      </c>
      <c r="J377" t="n">
        <v>0</v>
      </c>
      <c r="K377" t="n">
        <v>0</v>
      </c>
      <c r="L377" t="n">
        <v>0</v>
      </c>
      <c r="M377" t="n">
        <v>0</v>
      </c>
      <c r="N377" t="n">
        <v>0</v>
      </c>
      <c r="O377" t="n">
        <v>0</v>
      </c>
      <c r="P377" t="n">
        <v>0</v>
      </c>
      <c r="Q377" t="n">
        <v>0</v>
      </c>
      <c r="R377" s="2" t="inlineStr"/>
    </row>
    <row r="378" ht="15" customHeight="1">
      <c r="A378" t="inlineStr">
        <is>
          <t>A 60879-2020</t>
        </is>
      </c>
      <c r="B378" s="1" t="n">
        <v>44154</v>
      </c>
      <c r="C378" s="1" t="n">
        <v>45962</v>
      </c>
      <c r="D378" t="inlineStr">
        <is>
          <t>SKÅNE LÄN</t>
        </is>
      </c>
      <c r="E378" t="inlineStr">
        <is>
          <t>ÖRKELLJUNGA</t>
        </is>
      </c>
      <c r="G378" t="n">
        <v>1</v>
      </c>
      <c r="H378" t="n">
        <v>0</v>
      </c>
      <c r="I378" t="n">
        <v>0</v>
      </c>
      <c r="J378" t="n">
        <v>0</v>
      </c>
      <c r="K378" t="n">
        <v>0</v>
      </c>
      <c r="L378" t="n">
        <v>0</v>
      </c>
      <c r="M378" t="n">
        <v>0</v>
      </c>
      <c r="N378" t="n">
        <v>0</v>
      </c>
      <c r="O378" t="n">
        <v>0</v>
      </c>
      <c r="P378" t="n">
        <v>0</v>
      </c>
      <c r="Q378" t="n">
        <v>0</v>
      </c>
      <c r="R378" s="2" t="inlineStr"/>
    </row>
    <row r="379" ht="15" customHeight="1">
      <c r="A379" t="inlineStr">
        <is>
          <t>A 2532-2021</t>
        </is>
      </c>
      <c r="B379" s="1" t="n">
        <v>44214</v>
      </c>
      <c r="C379" s="1" t="n">
        <v>45962</v>
      </c>
      <c r="D379" t="inlineStr">
        <is>
          <t>SKÅNE LÄN</t>
        </is>
      </c>
      <c r="E379" t="inlineStr">
        <is>
          <t>ÖSTRA GÖINGE</t>
        </is>
      </c>
      <c r="G379" t="n">
        <v>0.8</v>
      </c>
      <c r="H379" t="n">
        <v>0</v>
      </c>
      <c r="I379" t="n">
        <v>0</v>
      </c>
      <c r="J379" t="n">
        <v>0</v>
      </c>
      <c r="K379" t="n">
        <v>0</v>
      </c>
      <c r="L379" t="n">
        <v>0</v>
      </c>
      <c r="M379" t="n">
        <v>0</v>
      </c>
      <c r="N379" t="n">
        <v>0</v>
      </c>
      <c r="O379" t="n">
        <v>0</v>
      </c>
      <c r="P379" t="n">
        <v>0</v>
      </c>
      <c r="Q379" t="n">
        <v>0</v>
      </c>
      <c r="R379" s="2" t="inlineStr"/>
    </row>
    <row r="380" ht="15" customHeight="1">
      <c r="A380" t="inlineStr">
        <is>
          <t>A 60995-2021</t>
        </is>
      </c>
      <c r="B380" s="1" t="n">
        <v>44497.61828703704</v>
      </c>
      <c r="C380" s="1" t="n">
        <v>45962</v>
      </c>
      <c r="D380" t="inlineStr">
        <is>
          <t>SKÅNE LÄN</t>
        </is>
      </c>
      <c r="E380" t="inlineStr">
        <is>
          <t>OSBY</t>
        </is>
      </c>
      <c r="G380" t="n">
        <v>1</v>
      </c>
      <c r="H380" t="n">
        <v>0</v>
      </c>
      <c r="I380" t="n">
        <v>0</v>
      </c>
      <c r="J380" t="n">
        <v>0</v>
      </c>
      <c r="K380" t="n">
        <v>0</v>
      </c>
      <c r="L380" t="n">
        <v>0</v>
      </c>
      <c r="M380" t="n">
        <v>0</v>
      </c>
      <c r="N380" t="n">
        <v>0</v>
      </c>
      <c r="O380" t="n">
        <v>0</v>
      </c>
      <c r="P380" t="n">
        <v>0</v>
      </c>
      <c r="Q380" t="n">
        <v>0</v>
      </c>
      <c r="R380" s="2" t="inlineStr"/>
    </row>
    <row r="381" ht="15" customHeight="1">
      <c r="A381" t="inlineStr">
        <is>
          <t>A 48380-2021</t>
        </is>
      </c>
      <c r="B381" s="1" t="n">
        <v>44451.88875</v>
      </c>
      <c r="C381" s="1" t="n">
        <v>45962</v>
      </c>
      <c r="D381" t="inlineStr">
        <is>
          <t>SKÅNE LÄN</t>
        </is>
      </c>
      <c r="E381" t="inlineStr">
        <is>
          <t>PERSTORP</t>
        </is>
      </c>
      <c r="G381" t="n">
        <v>0.3</v>
      </c>
      <c r="H381" t="n">
        <v>0</v>
      </c>
      <c r="I381" t="n">
        <v>0</v>
      </c>
      <c r="J381" t="n">
        <v>0</v>
      </c>
      <c r="K381" t="n">
        <v>0</v>
      </c>
      <c r="L381" t="n">
        <v>0</v>
      </c>
      <c r="M381" t="n">
        <v>0</v>
      </c>
      <c r="N381" t="n">
        <v>0</v>
      </c>
      <c r="O381" t="n">
        <v>0</v>
      </c>
      <c r="P381" t="n">
        <v>0</v>
      </c>
      <c r="Q381" t="n">
        <v>0</v>
      </c>
      <c r="R381" s="2" t="inlineStr"/>
    </row>
    <row r="382" ht="15" customHeight="1">
      <c r="A382" t="inlineStr">
        <is>
          <t>A 43026-2021</t>
        </is>
      </c>
      <c r="B382" s="1" t="n">
        <v>44431.49028935185</v>
      </c>
      <c r="C382" s="1" t="n">
        <v>45962</v>
      </c>
      <c r="D382" t="inlineStr">
        <is>
          <t>SKÅNE LÄN</t>
        </is>
      </c>
      <c r="E382" t="inlineStr">
        <is>
          <t>OSBY</t>
        </is>
      </c>
      <c r="G382" t="n">
        <v>1.7</v>
      </c>
      <c r="H382" t="n">
        <v>0</v>
      </c>
      <c r="I382" t="n">
        <v>0</v>
      </c>
      <c r="J382" t="n">
        <v>0</v>
      </c>
      <c r="K382" t="n">
        <v>0</v>
      </c>
      <c r="L382" t="n">
        <v>0</v>
      </c>
      <c r="M382" t="n">
        <v>0</v>
      </c>
      <c r="N382" t="n">
        <v>0</v>
      </c>
      <c r="O382" t="n">
        <v>0</v>
      </c>
      <c r="P382" t="n">
        <v>0</v>
      </c>
      <c r="Q382" t="n">
        <v>0</v>
      </c>
      <c r="R382" s="2" t="inlineStr"/>
    </row>
    <row r="383" ht="15" customHeight="1">
      <c r="A383" t="inlineStr">
        <is>
          <t>A 3044-2021</t>
        </is>
      </c>
      <c r="B383" s="1" t="n">
        <v>44216</v>
      </c>
      <c r="C383" s="1" t="n">
        <v>45962</v>
      </c>
      <c r="D383" t="inlineStr">
        <is>
          <t>SKÅNE LÄN</t>
        </is>
      </c>
      <c r="E383" t="inlineStr">
        <is>
          <t>HÄSSLEHOLM</t>
        </is>
      </c>
      <c r="G383" t="n">
        <v>3.7</v>
      </c>
      <c r="H383" t="n">
        <v>0</v>
      </c>
      <c r="I383" t="n">
        <v>0</v>
      </c>
      <c r="J383" t="n">
        <v>0</v>
      </c>
      <c r="K383" t="n">
        <v>0</v>
      </c>
      <c r="L383" t="n">
        <v>0</v>
      </c>
      <c r="M383" t="n">
        <v>0</v>
      </c>
      <c r="N383" t="n">
        <v>0</v>
      </c>
      <c r="O383" t="n">
        <v>0</v>
      </c>
      <c r="P383" t="n">
        <v>0</v>
      </c>
      <c r="Q383" t="n">
        <v>0</v>
      </c>
      <c r="R383" s="2" t="inlineStr"/>
    </row>
    <row r="384" ht="15" customHeight="1">
      <c r="A384" t="inlineStr">
        <is>
          <t>A 26482-2021</t>
        </is>
      </c>
      <c r="B384" s="1" t="n">
        <v>44348</v>
      </c>
      <c r="C384" s="1" t="n">
        <v>45962</v>
      </c>
      <c r="D384" t="inlineStr">
        <is>
          <t>SKÅNE LÄN</t>
        </is>
      </c>
      <c r="E384" t="inlineStr">
        <is>
          <t>KRISTIANSTAD</t>
        </is>
      </c>
      <c r="G384" t="n">
        <v>1.5</v>
      </c>
      <c r="H384" t="n">
        <v>0</v>
      </c>
      <c r="I384" t="n">
        <v>0</v>
      </c>
      <c r="J384" t="n">
        <v>0</v>
      </c>
      <c r="K384" t="n">
        <v>0</v>
      </c>
      <c r="L384" t="n">
        <v>0</v>
      </c>
      <c r="M384" t="n">
        <v>0</v>
      </c>
      <c r="N384" t="n">
        <v>0</v>
      </c>
      <c r="O384" t="n">
        <v>0</v>
      </c>
      <c r="P384" t="n">
        <v>0</v>
      </c>
      <c r="Q384" t="n">
        <v>0</v>
      </c>
      <c r="R384" s="2" t="inlineStr"/>
    </row>
    <row r="385" ht="15" customHeight="1">
      <c r="A385" t="inlineStr">
        <is>
          <t>A 22907-2021</t>
        </is>
      </c>
      <c r="B385" s="1" t="n">
        <v>44328.48032407407</v>
      </c>
      <c r="C385" s="1" t="n">
        <v>45962</v>
      </c>
      <c r="D385" t="inlineStr">
        <is>
          <t>SKÅNE LÄN</t>
        </is>
      </c>
      <c r="E385" t="inlineStr">
        <is>
          <t>HÄSSLEHOLM</t>
        </is>
      </c>
      <c r="G385" t="n">
        <v>0.5</v>
      </c>
      <c r="H385" t="n">
        <v>0</v>
      </c>
      <c r="I385" t="n">
        <v>0</v>
      </c>
      <c r="J385" t="n">
        <v>0</v>
      </c>
      <c r="K385" t="n">
        <v>0</v>
      </c>
      <c r="L385" t="n">
        <v>0</v>
      </c>
      <c r="M385" t="n">
        <v>0</v>
      </c>
      <c r="N385" t="n">
        <v>0</v>
      </c>
      <c r="O385" t="n">
        <v>0</v>
      </c>
      <c r="P385" t="n">
        <v>0</v>
      </c>
      <c r="Q385" t="n">
        <v>0</v>
      </c>
      <c r="R385" s="2" t="inlineStr"/>
    </row>
    <row r="386" ht="15" customHeight="1">
      <c r="A386" t="inlineStr">
        <is>
          <t>A 65033-2020</t>
        </is>
      </c>
      <c r="B386" s="1" t="n">
        <v>44172</v>
      </c>
      <c r="C386" s="1" t="n">
        <v>45962</v>
      </c>
      <c r="D386" t="inlineStr">
        <is>
          <t>SKÅNE LÄN</t>
        </is>
      </c>
      <c r="E386" t="inlineStr">
        <is>
          <t>TOMELILLA</t>
        </is>
      </c>
      <c r="F386" t="inlineStr">
        <is>
          <t>Kyrkan</t>
        </is>
      </c>
      <c r="G386" t="n">
        <v>1.1</v>
      </c>
      <c r="H386" t="n">
        <v>0</v>
      </c>
      <c r="I386" t="n">
        <v>0</v>
      </c>
      <c r="J386" t="n">
        <v>0</v>
      </c>
      <c r="K386" t="n">
        <v>0</v>
      </c>
      <c r="L386" t="n">
        <v>0</v>
      </c>
      <c r="M386" t="n">
        <v>0</v>
      </c>
      <c r="N386" t="n">
        <v>0</v>
      </c>
      <c r="O386" t="n">
        <v>0</v>
      </c>
      <c r="P386" t="n">
        <v>0</v>
      </c>
      <c r="Q386" t="n">
        <v>0</v>
      </c>
      <c r="R386" s="2" t="inlineStr"/>
    </row>
    <row r="387" ht="15" customHeight="1">
      <c r="A387" t="inlineStr">
        <is>
          <t>A 62858-2020</t>
        </is>
      </c>
      <c r="B387" s="1" t="n">
        <v>44161</v>
      </c>
      <c r="C387" s="1" t="n">
        <v>45962</v>
      </c>
      <c r="D387" t="inlineStr">
        <is>
          <t>SKÅNE LÄN</t>
        </is>
      </c>
      <c r="E387" t="inlineStr">
        <is>
          <t>HÄSSLEHOLM</t>
        </is>
      </c>
      <c r="G387" t="n">
        <v>0.7</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45962</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31097-2021</t>
        </is>
      </c>
      <c r="B389" s="1" t="n">
        <v>44368.50049768519</v>
      </c>
      <c r="C389" s="1" t="n">
        <v>45962</v>
      </c>
      <c r="D389" t="inlineStr">
        <is>
          <t>SKÅNE LÄN</t>
        </is>
      </c>
      <c r="E389" t="inlineStr">
        <is>
          <t>KLIPPAN</t>
        </is>
      </c>
      <c r="G389" t="n">
        <v>0.6</v>
      </c>
      <c r="H389" t="n">
        <v>0</v>
      </c>
      <c r="I389" t="n">
        <v>0</v>
      </c>
      <c r="J389" t="n">
        <v>0</v>
      </c>
      <c r="K389" t="n">
        <v>0</v>
      </c>
      <c r="L389" t="n">
        <v>0</v>
      </c>
      <c r="M389" t="n">
        <v>0</v>
      </c>
      <c r="N389" t="n">
        <v>0</v>
      </c>
      <c r="O389" t="n">
        <v>0</v>
      </c>
      <c r="P389" t="n">
        <v>0</v>
      </c>
      <c r="Q389" t="n">
        <v>0</v>
      </c>
      <c r="R389" s="2" t="inlineStr"/>
    </row>
    <row r="390" ht="15" customHeight="1">
      <c r="A390" t="inlineStr">
        <is>
          <t>A 22793-2021</t>
        </is>
      </c>
      <c r="B390" s="1" t="n">
        <v>44327</v>
      </c>
      <c r="C390" s="1" t="n">
        <v>45962</v>
      </c>
      <c r="D390" t="inlineStr">
        <is>
          <t>SKÅNE LÄN</t>
        </is>
      </c>
      <c r="E390" t="inlineStr">
        <is>
          <t>ÖSTRA GÖINGE</t>
        </is>
      </c>
      <c r="G390" t="n">
        <v>0.8</v>
      </c>
      <c r="H390" t="n">
        <v>0</v>
      </c>
      <c r="I390" t="n">
        <v>0</v>
      </c>
      <c r="J390" t="n">
        <v>0</v>
      </c>
      <c r="K390" t="n">
        <v>0</v>
      </c>
      <c r="L390" t="n">
        <v>0</v>
      </c>
      <c r="M390" t="n">
        <v>0</v>
      </c>
      <c r="N390" t="n">
        <v>0</v>
      </c>
      <c r="O390" t="n">
        <v>0</v>
      </c>
      <c r="P390" t="n">
        <v>0</v>
      </c>
      <c r="Q390" t="n">
        <v>0</v>
      </c>
      <c r="R390" s="2" t="inlineStr"/>
    </row>
    <row r="391" ht="15" customHeight="1">
      <c r="A391" t="inlineStr">
        <is>
          <t>A 30657-2022</t>
        </is>
      </c>
      <c r="B391" s="1" t="n">
        <v>44763.51302083334</v>
      </c>
      <c r="C391" s="1" t="n">
        <v>45962</v>
      </c>
      <c r="D391" t="inlineStr">
        <is>
          <t>SKÅNE LÄN</t>
        </is>
      </c>
      <c r="E391" t="inlineStr">
        <is>
          <t>SVALÖV</t>
        </is>
      </c>
      <c r="G391" t="n">
        <v>0.6</v>
      </c>
      <c r="H391" t="n">
        <v>0</v>
      </c>
      <c r="I391" t="n">
        <v>0</v>
      </c>
      <c r="J391" t="n">
        <v>0</v>
      </c>
      <c r="K391" t="n">
        <v>0</v>
      </c>
      <c r="L391" t="n">
        <v>0</v>
      </c>
      <c r="M391" t="n">
        <v>0</v>
      </c>
      <c r="N391" t="n">
        <v>0</v>
      </c>
      <c r="O391" t="n">
        <v>0</v>
      </c>
      <c r="P391" t="n">
        <v>0</v>
      </c>
      <c r="Q391" t="n">
        <v>0</v>
      </c>
      <c r="R391" s="2" t="inlineStr"/>
    </row>
    <row r="392" ht="15" customHeight="1">
      <c r="A392" t="inlineStr">
        <is>
          <t>A 2399-2021</t>
        </is>
      </c>
      <c r="B392" s="1" t="n">
        <v>44214</v>
      </c>
      <c r="C392" s="1" t="n">
        <v>45962</v>
      </c>
      <c r="D392" t="inlineStr">
        <is>
          <t>SKÅNE LÄN</t>
        </is>
      </c>
      <c r="E392" t="inlineStr">
        <is>
          <t>OSBY</t>
        </is>
      </c>
      <c r="G392" t="n">
        <v>1</v>
      </c>
      <c r="H392" t="n">
        <v>0</v>
      </c>
      <c r="I392" t="n">
        <v>0</v>
      </c>
      <c r="J392" t="n">
        <v>0</v>
      </c>
      <c r="K392" t="n">
        <v>0</v>
      </c>
      <c r="L392" t="n">
        <v>0</v>
      </c>
      <c r="M392" t="n">
        <v>0</v>
      </c>
      <c r="N392" t="n">
        <v>0</v>
      </c>
      <c r="O392" t="n">
        <v>0</v>
      </c>
      <c r="P392" t="n">
        <v>0</v>
      </c>
      <c r="Q392" t="n">
        <v>0</v>
      </c>
      <c r="R392" s="2" t="inlineStr"/>
    </row>
    <row r="393" ht="15" customHeight="1">
      <c r="A393" t="inlineStr">
        <is>
          <t>A 11919-2021</t>
        </is>
      </c>
      <c r="B393" s="1" t="n">
        <v>44266</v>
      </c>
      <c r="C393" s="1" t="n">
        <v>45962</v>
      </c>
      <c r="D393" t="inlineStr">
        <is>
          <t>SKÅNE LÄN</t>
        </is>
      </c>
      <c r="E393" t="inlineStr">
        <is>
          <t>TOMELILLA</t>
        </is>
      </c>
      <c r="F393" t="inlineStr">
        <is>
          <t>Övriga Aktiebolag</t>
        </is>
      </c>
      <c r="G393" t="n">
        <v>1.3</v>
      </c>
      <c r="H393" t="n">
        <v>0</v>
      </c>
      <c r="I393" t="n">
        <v>0</v>
      </c>
      <c r="J393" t="n">
        <v>0</v>
      </c>
      <c r="K393" t="n">
        <v>0</v>
      </c>
      <c r="L393" t="n">
        <v>0</v>
      </c>
      <c r="M393" t="n">
        <v>0</v>
      </c>
      <c r="N393" t="n">
        <v>0</v>
      </c>
      <c r="O393" t="n">
        <v>0</v>
      </c>
      <c r="P393" t="n">
        <v>0</v>
      </c>
      <c r="Q393" t="n">
        <v>0</v>
      </c>
      <c r="R393" s="2" t="inlineStr"/>
    </row>
    <row r="394" ht="15" customHeight="1">
      <c r="A394" t="inlineStr">
        <is>
          <t>A 14709-2022</t>
        </is>
      </c>
      <c r="B394" s="1" t="n">
        <v>44656</v>
      </c>
      <c r="C394" s="1" t="n">
        <v>45962</v>
      </c>
      <c r="D394" t="inlineStr">
        <is>
          <t>SKÅNE LÄN</t>
        </is>
      </c>
      <c r="E394" t="inlineStr">
        <is>
          <t>SJÖBO</t>
        </is>
      </c>
      <c r="F394" t="inlineStr">
        <is>
          <t>Övriga Aktiebolag</t>
        </is>
      </c>
      <c r="G394" t="n">
        <v>5.1</v>
      </c>
      <c r="H394" t="n">
        <v>0</v>
      </c>
      <c r="I394" t="n">
        <v>0</v>
      </c>
      <c r="J394" t="n">
        <v>0</v>
      </c>
      <c r="K394" t="n">
        <v>0</v>
      </c>
      <c r="L394" t="n">
        <v>0</v>
      </c>
      <c r="M394" t="n">
        <v>0</v>
      </c>
      <c r="N394" t="n">
        <v>0</v>
      </c>
      <c r="O394" t="n">
        <v>0</v>
      </c>
      <c r="P394" t="n">
        <v>0</v>
      </c>
      <c r="Q394" t="n">
        <v>0</v>
      </c>
      <c r="R394" s="2" t="inlineStr"/>
    </row>
    <row r="395" ht="15" customHeight="1">
      <c r="A395" t="inlineStr">
        <is>
          <t>A 44794-2021</t>
        </is>
      </c>
      <c r="B395" s="1" t="n">
        <v>44438</v>
      </c>
      <c r="C395" s="1" t="n">
        <v>45962</v>
      </c>
      <c r="D395" t="inlineStr">
        <is>
          <t>SKÅNE LÄN</t>
        </is>
      </c>
      <c r="E395" t="inlineStr">
        <is>
          <t>HÄSSLEHOLM</t>
        </is>
      </c>
      <c r="G395" t="n">
        <v>0.3</v>
      </c>
      <c r="H395" t="n">
        <v>0</v>
      </c>
      <c r="I395" t="n">
        <v>0</v>
      </c>
      <c r="J395" t="n">
        <v>0</v>
      </c>
      <c r="K395" t="n">
        <v>0</v>
      </c>
      <c r="L395" t="n">
        <v>0</v>
      </c>
      <c r="M395" t="n">
        <v>0</v>
      </c>
      <c r="N395" t="n">
        <v>0</v>
      </c>
      <c r="O395" t="n">
        <v>0</v>
      </c>
      <c r="P395" t="n">
        <v>0</v>
      </c>
      <c r="Q395" t="n">
        <v>0</v>
      </c>
      <c r="R395" s="2" t="inlineStr"/>
    </row>
    <row r="396" ht="15" customHeight="1">
      <c r="A396" t="inlineStr">
        <is>
          <t>A 28932-2022</t>
        </is>
      </c>
      <c r="B396" s="1" t="n">
        <v>44749</v>
      </c>
      <c r="C396" s="1" t="n">
        <v>45962</v>
      </c>
      <c r="D396" t="inlineStr">
        <is>
          <t>SKÅNE LÄN</t>
        </is>
      </c>
      <c r="E396" t="inlineStr">
        <is>
          <t>SJÖBO</t>
        </is>
      </c>
      <c r="G396" t="n">
        <v>0.4</v>
      </c>
      <c r="H396" t="n">
        <v>0</v>
      </c>
      <c r="I396" t="n">
        <v>0</v>
      </c>
      <c r="J396" t="n">
        <v>0</v>
      </c>
      <c r="K396" t="n">
        <v>0</v>
      </c>
      <c r="L396" t="n">
        <v>0</v>
      </c>
      <c r="M396" t="n">
        <v>0</v>
      </c>
      <c r="N396" t="n">
        <v>0</v>
      </c>
      <c r="O396" t="n">
        <v>0</v>
      </c>
      <c r="P396" t="n">
        <v>0</v>
      </c>
      <c r="Q396" t="n">
        <v>0</v>
      </c>
      <c r="R396" s="2" t="inlineStr"/>
    </row>
    <row r="397" ht="15" customHeight="1">
      <c r="A397" t="inlineStr">
        <is>
          <t>A 54563-2022</t>
        </is>
      </c>
      <c r="B397" s="1" t="n">
        <v>44882.93611111111</v>
      </c>
      <c r="C397" s="1" t="n">
        <v>45962</v>
      </c>
      <c r="D397" t="inlineStr">
        <is>
          <t>SKÅNE LÄN</t>
        </is>
      </c>
      <c r="E397" t="inlineStr">
        <is>
          <t>HÖÖR</t>
        </is>
      </c>
      <c r="G397" t="n">
        <v>0.8</v>
      </c>
      <c r="H397" t="n">
        <v>0</v>
      </c>
      <c r="I397" t="n">
        <v>0</v>
      </c>
      <c r="J397" t="n">
        <v>0</v>
      </c>
      <c r="K397" t="n">
        <v>0</v>
      </c>
      <c r="L397" t="n">
        <v>0</v>
      </c>
      <c r="M397" t="n">
        <v>0</v>
      </c>
      <c r="N397" t="n">
        <v>0</v>
      </c>
      <c r="O397" t="n">
        <v>0</v>
      </c>
      <c r="P397" t="n">
        <v>0</v>
      </c>
      <c r="Q397" t="n">
        <v>0</v>
      </c>
      <c r="R397" s="2" t="inlineStr"/>
    </row>
    <row r="398" ht="15" customHeight="1">
      <c r="A398" t="inlineStr">
        <is>
          <t>A 55154-2022</t>
        </is>
      </c>
      <c r="B398" s="1" t="n">
        <v>44886.68302083333</v>
      </c>
      <c r="C398" s="1" t="n">
        <v>45962</v>
      </c>
      <c r="D398" t="inlineStr">
        <is>
          <t>SKÅNE LÄN</t>
        </is>
      </c>
      <c r="E398" t="inlineStr">
        <is>
          <t>HÄSSLEHOLM</t>
        </is>
      </c>
      <c r="G398" t="n">
        <v>1.4</v>
      </c>
      <c r="H398" t="n">
        <v>0</v>
      </c>
      <c r="I398" t="n">
        <v>0</v>
      </c>
      <c r="J398" t="n">
        <v>0</v>
      </c>
      <c r="K398" t="n">
        <v>0</v>
      </c>
      <c r="L398" t="n">
        <v>0</v>
      </c>
      <c r="M398" t="n">
        <v>0</v>
      </c>
      <c r="N398" t="n">
        <v>0</v>
      </c>
      <c r="O398" t="n">
        <v>0</v>
      </c>
      <c r="P398" t="n">
        <v>0</v>
      </c>
      <c r="Q398" t="n">
        <v>0</v>
      </c>
      <c r="R398" s="2" t="inlineStr"/>
    </row>
    <row r="399" ht="15" customHeight="1">
      <c r="A399" t="inlineStr">
        <is>
          <t>A 55155-2022</t>
        </is>
      </c>
      <c r="B399" s="1" t="n">
        <v>44886.68671296296</v>
      </c>
      <c r="C399" s="1" t="n">
        <v>45962</v>
      </c>
      <c r="D399" t="inlineStr">
        <is>
          <t>SKÅNE LÄN</t>
        </is>
      </c>
      <c r="E399" t="inlineStr">
        <is>
          <t>HÄSSLEHOLM</t>
        </is>
      </c>
      <c r="G399" t="n">
        <v>1.1</v>
      </c>
      <c r="H399" t="n">
        <v>0</v>
      </c>
      <c r="I399" t="n">
        <v>0</v>
      </c>
      <c r="J399" t="n">
        <v>0</v>
      </c>
      <c r="K399" t="n">
        <v>0</v>
      </c>
      <c r="L399" t="n">
        <v>0</v>
      </c>
      <c r="M399" t="n">
        <v>0</v>
      </c>
      <c r="N399" t="n">
        <v>0</v>
      </c>
      <c r="O399" t="n">
        <v>0</v>
      </c>
      <c r="P399" t="n">
        <v>0</v>
      </c>
      <c r="Q399" t="n">
        <v>0</v>
      </c>
      <c r="R399" s="2" t="inlineStr"/>
    </row>
    <row r="400" ht="15" customHeight="1">
      <c r="A400" t="inlineStr">
        <is>
          <t>A 18158-2022</t>
        </is>
      </c>
      <c r="B400" s="1" t="n">
        <v>44684</v>
      </c>
      <c r="C400" s="1" t="n">
        <v>45962</v>
      </c>
      <c r="D400" t="inlineStr">
        <is>
          <t>SKÅNE LÄN</t>
        </is>
      </c>
      <c r="E400" t="inlineStr">
        <is>
          <t>TOMELILLA</t>
        </is>
      </c>
      <c r="G400" t="n">
        <v>1.6</v>
      </c>
      <c r="H400" t="n">
        <v>0</v>
      </c>
      <c r="I400" t="n">
        <v>0</v>
      </c>
      <c r="J400" t="n">
        <v>0</v>
      </c>
      <c r="K400" t="n">
        <v>0</v>
      </c>
      <c r="L400" t="n">
        <v>0</v>
      </c>
      <c r="M400" t="n">
        <v>0</v>
      </c>
      <c r="N400" t="n">
        <v>0</v>
      </c>
      <c r="O400" t="n">
        <v>0</v>
      </c>
      <c r="P400" t="n">
        <v>0</v>
      </c>
      <c r="Q400" t="n">
        <v>0</v>
      </c>
      <c r="R400" s="2" t="inlineStr"/>
    </row>
    <row r="401" ht="15" customHeight="1">
      <c r="A401" t="inlineStr">
        <is>
          <t>A 35099-2022</t>
        </is>
      </c>
      <c r="B401" s="1" t="n">
        <v>44797</v>
      </c>
      <c r="C401" s="1" t="n">
        <v>45962</v>
      </c>
      <c r="D401" t="inlineStr">
        <is>
          <t>SKÅNE LÄN</t>
        </is>
      </c>
      <c r="E401" t="inlineStr">
        <is>
          <t>HÄSSLEHOLM</t>
        </is>
      </c>
      <c r="G401" t="n">
        <v>4.1</v>
      </c>
      <c r="H401" t="n">
        <v>0</v>
      </c>
      <c r="I401" t="n">
        <v>0</v>
      </c>
      <c r="J401" t="n">
        <v>0</v>
      </c>
      <c r="K401" t="n">
        <v>0</v>
      </c>
      <c r="L401" t="n">
        <v>0</v>
      </c>
      <c r="M401" t="n">
        <v>0</v>
      </c>
      <c r="N401" t="n">
        <v>0</v>
      </c>
      <c r="O401" t="n">
        <v>0</v>
      </c>
      <c r="P401" t="n">
        <v>0</v>
      </c>
      <c r="Q401" t="n">
        <v>0</v>
      </c>
      <c r="R401" s="2" t="inlineStr"/>
    </row>
    <row r="402" ht="15" customHeight="1">
      <c r="A402" t="inlineStr">
        <is>
          <t>A 53742-2022</t>
        </is>
      </c>
      <c r="B402" s="1" t="n">
        <v>44880.43927083333</v>
      </c>
      <c r="C402" s="1" t="n">
        <v>45962</v>
      </c>
      <c r="D402" t="inlineStr">
        <is>
          <t>SKÅNE LÄN</t>
        </is>
      </c>
      <c r="E402" t="inlineStr">
        <is>
          <t>ÄNGELHOLM</t>
        </is>
      </c>
      <c r="G402" t="n">
        <v>0.5</v>
      </c>
      <c r="H402" t="n">
        <v>0</v>
      </c>
      <c r="I402" t="n">
        <v>0</v>
      </c>
      <c r="J402" t="n">
        <v>0</v>
      </c>
      <c r="K402" t="n">
        <v>0</v>
      </c>
      <c r="L402" t="n">
        <v>0</v>
      </c>
      <c r="M402" t="n">
        <v>0</v>
      </c>
      <c r="N402" t="n">
        <v>0</v>
      </c>
      <c r="O402" t="n">
        <v>0</v>
      </c>
      <c r="P402" t="n">
        <v>0</v>
      </c>
      <c r="Q402" t="n">
        <v>0</v>
      </c>
      <c r="R402" s="2" t="inlineStr"/>
    </row>
    <row r="403" ht="15" customHeight="1">
      <c r="A403" t="inlineStr">
        <is>
          <t>A 27452-2022</t>
        </is>
      </c>
      <c r="B403" s="1" t="n">
        <v>44742</v>
      </c>
      <c r="C403" s="1" t="n">
        <v>45962</v>
      </c>
      <c r="D403" t="inlineStr">
        <is>
          <t>SKÅNE LÄN</t>
        </is>
      </c>
      <c r="E403" t="inlineStr">
        <is>
          <t>HÄSSLEHOLM</t>
        </is>
      </c>
      <c r="G403" t="n">
        <v>4.2</v>
      </c>
      <c r="H403" t="n">
        <v>0</v>
      </c>
      <c r="I403" t="n">
        <v>0</v>
      </c>
      <c r="J403" t="n">
        <v>0</v>
      </c>
      <c r="K403" t="n">
        <v>0</v>
      </c>
      <c r="L403" t="n">
        <v>0</v>
      </c>
      <c r="M403" t="n">
        <v>0</v>
      </c>
      <c r="N403" t="n">
        <v>0</v>
      </c>
      <c r="O403" t="n">
        <v>0</v>
      </c>
      <c r="P403" t="n">
        <v>0</v>
      </c>
      <c r="Q403" t="n">
        <v>0</v>
      </c>
      <c r="R403" s="2" t="inlineStr"/>
    </row>
    <row r="404" ht="15" customHeight="1">
      <c r="A404" t="inlineStr">
        <is>
          <t>A 55637-2022</t>
        </is>
      </c>
      <c r="B404" s="1" t="n">
        <v>44883</v>
      </c>
      <c r="C404" s="1" t="n">
        <v>45962</v>
      </c>
      <c r="D404" t="inlineStr">
        <is>
          <t>SKÅNE LÄN</t>
        </is>
      </c>
      <c r="E404" t="inlineStr">
        <is>
          <t>KLIPPAN</t>
        </is>
      </c>
      <c r="F404" t="inlineStr">
        <is>
          <t>Övriga Aktiebolag</t>
        </is>
      </c>
      <c r="G404" t="n">
        <v>2.4</v>
      </c>
      <c r="H404" t="n">
        <v>0</v>
      </c>
      <c r="I404" t="n">
        <v>0</v>
      </c>
      <c r="J404" t="n">
        <v>0</v>
      </c>
      <c r="K404" t="n">
        <v>0</v>
      </c>
      <c r="L404" t="n">
        <v>0</v>
      </c>
      <c r="M404" t="n">
        <v>0</v>
      </c>
      <c r="N404" t="n">
        <v>0</v>
      </c>
      <c r="O404" t="n">
        <v>0</v>
      </c>
      <c r="P404" t="n">
        <v>0</v>
      </c>
      <c r="Q404" t="n">
        <v>0</v>
      </c>
      <c r="R404" s="2" t="inlineStr"/>
    </row>
    <row r="405" ht="15" customHeight="1">
      <c r="A405" t="inlineStr">
        <is>
          <t>A 21393-2022</t>
        </is>
      </c>
      <c r="B405" s="1" t="n">
        <v>44705</v>
      </c>
      <c r="C405" s="1" t="n">
        <v>45962</v>
      </c>
      <c r="D405" t="inlineStr">
        <is>
          <t>SKÅNE LÄN</t>
        </is>
      </c>
      <c r="E405" t="inlineStr">
        <is>
          <t>KRISTIANSTAD</t>
        </is>
      </c>
      <c r="G405" t="n">
        <v>1.9</v>
      </c>
      <c r="H405" t="n">
        <v>0</v>
      </c>
      <c r="I405" t="n">
        <v>0</v>
      </c>
      <c r="J405" t="n">
        <v>0</v>
      </c>
      <c r="K405" t="n">
        <v>0</v>
      </c>
      <c r="L405" t="n">
        <v>0</v>
      </c>
      <c r="M405" t="n">
        <v>0</v>
      </c>
      <c r="N405" t="n">
        <v>0</v>
      </c>
      <c r="O405" t="n">
        <v>0</v>
      </c>
      <c r="P405" t="n">
        <v>0</v>
      </c>
      <c r="Q405" t="n">
        <v>0</v>
      </c>
      <c r="R405" s="2" t="inlineStr"/>
    </row>
    <row r="406" ht="15" customHeight="1">
      <c r="A406" t="inlineStr">
        <is>
          <t>A 44731-2021</t>
        </is>
      </c>
      <c r="B406" s="1" t="n">
        <v>44438.39974537037</v>
      </c>
      <c r="C406" s="1" t="n">
        <v>45962</v>
      </c>
      <c r="D406" t="inlineStr">
        <is>
          <t>SKÅNE LÄN</t>
        </is>
      </c>
      <c r="E406" t="inlineStr">
        <is>
          <t>OSBY</t>
        </is>
      </c>
      <c r="G406" t="n">
        <v>0.6</v>
      </c>
      <c r="H406" t="n">
        <v>0</v>
      </c>
      <c r="I406" t="n">
        <v>0</v>
      </c>
      <c r="J406" t="n">
        <v>0</v>
      </c>
      <c r="K406" t="n">
        <v>0</v>
      </c>
      <c r="L406" t="n">
        <v>0</v>
      </c>
      <c r="M406" t="n">
        <v>0</v>
      </c>
      <c r="N406" t="n">
        <v>0</v>
      </c>
      <c r="O406" t="n">
        <v>0</v>
      </c>
      <c r="P406" t="n">
        <v>0</v>
      </c>
      <c r="Q406" t="n">
        <v>0</v>
      </c>
      <c r="R406" s="2" t="inlineStr"/>
    </row>
    <row r="407" ht="15" customHeight="1">
      <c r="A407" t="inlineStr">
        <is>
          <t>A 15794-2022</t>
        </is>
      </c>
      <c r="B407" s="1" t="n">
        <v>44663</v>
      </c>
      <c r="C407" s="1" t="n">
        <v>45962</v>
      </c>
      <c r="D407" t="inlineStr">
        <is>
          <t>SKÅNE LÄN</t>
        </is>
      </c>
      <c r="E407" t="inlineStr">
        <is>
          <t>HÖRBY</t>
        </is>
      </c>
      <c r="G407" t="n">
        <v>0.5</v>
      </c>
      <c r="H407" t="n">
        <v>0</v>
      </c>
      <c r="I407" t="n">
        <v>0</v>
      </c>
      <c r="J407" t="n">
        <v>0</v>
      </c>
      <c r="K407" t="n">
        <v>0</v>
      </c>
      <c r="L407" t="n">
        <v>0</v>
      </c>
      <c r="M407" t="n">
        <v>0</v>
      </c>
      <c r="N407" t="n">
        <v>0</v>
      </c>
      <c r="O407" t="n">
        <v>0</v>
      </c>
      <c r="P407" t="n">
        <v>0</v>
      </c>
      <c r="Q407" t="n">
        <v>0</v>
      </c>
      <c r="R407" s="2" t="inlineStr"/>
    </row>
    <row r="408" ht="15" customHeight="1">
      <c r="A408" t="inlineStr">
        <is>
          <t>A 49454-2021</t>
        </is>
      </c>
      <c r="B408" s="1" t="n">
        <v>44454.67652777778</v>
      </c>
      <c r="C408" s="1" t="n">
        <v>45962</v>
      </c>
      <c r="D408" t="inlineStr">
        <is>
          <t>SKÅNE LÄN</t>
        </is>
      </c>
      <c r="E408" t="inlineStr">
        <is>
          <t>HÄSSLEHOLM</t>
        </is>
      </c>
      <c r="G408" t="n">
        <v>0.8</v>
      </c>
      <c r="H408" t="n">
        <v>0</v>
      </c>
      <c r="I408" t="n">
        <v>0</v>
      </c>
      <c r="J408" t="n">
        <v>0</v>
      </c>
      <c r="K408" t="n">
        <v>0</v>
      </c>
      <c r="L408" t="n">
        <v>0</v>
      </c>
      <c r="M408" t="n">
        <v>0</v>
      </c>
      <c r="N408" t="n">
        <v>0</v>
      </c>
      <c r="O408" t="n">
        <v>0</v>
      </c>
      <c r="P408" t="n">
        <v>0</v>
      </c>
      <c r="Q408" t="n">
        <v>0</v>
      </c>
      <c r="R408" s="2" t="inlineStr"/>
    </row>
    <row r="409" ht="15" customHeight="1">
      <c r="A409" t="inlineStr">
        <is>
          <t>A 43868-2022</t>
        </is>
      </c>
      <c r="B409" s="1" t="n">
        <v>44838.43608796296</v>
      </c>
      <c r="C409" s="1" t="n">
        <v>45962</v>
      </c>
      <c r="D409" t="inlineStr">
        <is>
          <t>SKÅNE LÄN</t>
        </is>
      </c>
      <c r="E409" t="inlineStr">
        <is>
          <t>KRISTIANSTAD</t>
        </is>
      </c>
      <c r="F409" t="inlineStr">
        <is>
          <t>Sveaskog</t>
        </is>
      </c>
      <c r="G409" t="n">
        <v>0.6</v>
      </c>
      <c r="H409" t="n">
        <v>0</v>
      </c>
      <c r="I409" t="n">
        <v>0</v>
      </c>
      <c r="J409" t="n">
        <v>0</v>
      </c>
      <c r="K409" t="n">
        <v>0</v>
      </c>
      <c r="L409" t="n">
        <v>0</v>
      </c>
      <c r="M409" t="n">
        <v>0</v>
      </c>
      <c r="N409" t="n">
        <v>0</v>
      </c>
      <c r="O409" t="n">
        <v>0</v>
      </c>
      <c r="P409" t="n">
        <v>0</v>
      </c>
      <c r="Q409" t="n">
        <v>0</v>
      </c>
      <c r="R409" s="2" t="inlineStr"/>
    </row>
    <row r="410" ht="15" customHeight="1">
      <c r="A410" t="inlineStr">
        <is>
          <t>A 964-2021</t>
        </is>
      </c>
      <c r="B410" s="1" t="n">
        <v>44207</v>
      </c>
      <c r="C410" s="1" t="n">
        <v>45962</v>
      </c>
      <c r="D410" t="inlineStr">
        <is>
          <t>SKÅNE LÄN</t>
        </is>
      </c>
      <c r="E410" t="inlineStr">
        <is>
          <t>HÄSSLEHOLM</t>
        </is>
      </c>
      <c r="G410" t="n">
        <v>1</v>
      </c>
      <c r="H410" t="n">
        <v>0</v>
      </c>
      <c r="I410" t="n">
        <v>0</v>
      </c>
      <c r="J410" t="n">
        <v>0</v>
      </c>
      <c r="K410" t="n">
        <v>0</v>
      </c>
      <c r="L410" t="n">
        <v>0</v>
      </c>
      <c r="M410" t="n">
        <v>0</v>
      </c>
      <c r="N410" t="n">
        <v>0</v>
      </c>
      <c r="O410" t="n">
        <v>0</v>
      </c>
      <c r="P410" t="n">
        <v>0</v>
      </c>
      <c r="Q410" t="n">
        <v>0</v>
      </c>
      <c r="R410" s="2" t="inlineStr"/>
    </row>
    <row r="411" ht="15" customHeight="1">
      <c r="A411" t="inlineStr">
        <is>
          <t>A 39805-2021</t>
        </is>
      </c>
      <c r="B411" s="1" t="n">
        <v>44416</v>
      </c>
      <c r="C411" s="1" t="n">
        <v>45962</v>
      </c>
      <c r="D411" t="inlineStr">
        <is>
          <t>SKÅNE LÄN</t>
        </is>
      </c>
      <c r="E411" t="inlineStr">
        <is>
          <t>ÖRKELLJUNGA</t>
        </is>
      </c>
      <c r="G411" t="n">
        <v>1.1</v>
      </c>
      <c r="H411" t="n">
        <v>0</v>
      </c>
      <c r="I411" t="n">
        <v>0</v>
      </c>
      <c r="J411" t="n">
        <v>0</v>
      </c>
      <c r="K411" t="n">
        <v>0</v>
      </c>
      <c r="L411" t="n">
        <v>0</v>
      </c>
      <c r="M411" t="n">
        <v>0</v>
      </c>
      <c r="N411" t="n">
        <v>0</v>
      </c>
      <c r="O411" t="n">
        <v>0</v>
      </c>
      <c r="P411" t="n">
        <v>0</v>
      </c>
      <c r="Q411" t="n">
        <v>0</v>
      </c>
      <c r="R411" s="2" t="inlineStr"/>
    </row>
    <row r="412" ht="15" customHeight="1">
      <c r="A412" t="inlineStr">
        <is>
          <t>A 53258-2021</t>
        </is>
      </c>
      <c r="B412" s="1" t="n">
        <v>44468.47100694444</v>
      </c>
      <c r="C412" s="1" t="n">
        <v>45962</v>
      </c>
      <c r="D412" t="inlineStr">
        <is>
          <t>SKÅNE LÄN</t>
        </is>
      </c>
      <c r="E412" t="inlineStr">
        <is>
          <t>KRISTIANSTAD</t>
        </is>
      </c>
      <c r="G412" t="n">
        <v>2.2</v>
      </c>
      <c r="H412" t="n">
        <v>0</v>
      </c>
      <c r="I412" t="n">
        <v>0</v>
      </c>
      <c r="J412" t="n">
        <v>0</v>
      </c>
      <c r="K412" t="n">
        <v>0</v>
      </c>
      <c r="L412" t="n">
        <v>0</v>
      </c>
      <c r="M412" t="n">
        <v>0</v>
      </c>
      <c r="N412" t="n">
        <v>0</v>
      </c>
      <c r="O412" t="n">
        <v>0</v>
      </c>
      <c r="P412" t="n">
        <v>0</v>
      </c>
      <c r="Q412" t="n">
        <v>0</v>
      </c>
      <c r="R412" s="2" t="inlineStr"/>
    </row>
    <row r="413" ht="15" customHeight="1">
      <c r="A413" t="inlineStr">
        <is>
          <t>A 43981-2021</t>
        </is>
      </c>
      <c r="B413" s="1" t="n">
        <v>44434</v>
      </c>
      <c r="C413" s="1" t="n">
        <v>45962</v>
      </c>
      <c r="D413" t="inlineStr">
        <is>
          <t>SKÅNE LÄN</t>
        </is>
      </c>
      <c r="E413" t="inlineStr">
        <is>
          <t>KRISTIANSTAD</t>
        </is>
      </c>
      <c r="F413" t="inlineStr">
        <is>
          <t>Sveaskog</t>
        </is>
      </c>
      <c r="G413" t="n">
        <v>3.8</v>
      </c>
      <c r="H413" t="n">
        <v>0</v>
      </c>
      <c r="I413" t="n">
        <v>0</v>
      </c>
      <c r="J413" t="n">
        <v>0</v>
      </c>
      <c r="K413" t="n">
        <v>0</v>
      </c>
      <c r="L413" t="n">
        <v>0</v>
      </c>
      <c r="M413" t="n">
        <v>0</v>
      </c>
      <c r="N413" t="n">
        <v>0</v>
      </c>
      <c r="O413" t="n">
        <v>0</v>
      </c>
      <c r="P413" t="n">
        <v>0</v>
      </c>
      <c r="Q413" t="n">
        <v>0</v>
      </c>
      <c r="R413" s="2" t="inlineStr"/>
    </row>
    <row r="414" ht="15" customHeight="1">
      <c r="A414" t="inlineStr">
        <is>
          <t>A 48038-2022</t>
        </is>
      </c>
      <c r="B414" s="1" t="n">
        <v>44855.75388888889</v>
      </c>
      <c r="C414" s="1" t="n">
        <v>45962</v>
      </c>
      <c r="D414" t="inlineStr">
        <is>
          <t>SKÅNE LÄN</t>
        </is>
      </c>
      <c r="E414" t="inlineStr">
        <is>
          <t>ÖSTRA GÖINGE</t>
        </is>
      </c>
      <c r="G414" t="n">
        <v>1.9</v>
      </c>
      <c r="H414" t="n">
        <v>0</v>
      </c>
      <c r="I414" t="n">
        <v>0</v>
      </c>
      <c r="J414" t="n">
        <v>0</v>
      </c>
      <c r="K414" t="n">
        <v>0</v>
      </c>
      <c r="L414" t="n">
        <v>0</v>
      </c>
      <c r="M414" t="n">
        <v>0</v>
      </c>
      <c r="N414" t="n">
        <v>0</v>
      </c>
      <c r="O414" t="n">
        <v>0</v>
      </c>
      <c r="P414" t="n">
        <v>0</v>
      </c>
      <c r="Q414" t="n">
        <v>0</v>
      </c>
      <c r="R414" s="2" t="inlineStr"/>
    </row>
    <row r="415" ht="15" customHeight="1">
      <c r="A415" t="inlineStr">
        <is>
          <t>A 44629-2021</t>
        </is>
      </c>
      <c r="B415" s="1" t="n">
        <v>44437.29136574074</v>
      </c>
      <c r="C415" s="1" t="n">
        <v>45962</v>
      </c>
      <c r="D415" t="inlineStr">
        <is>
          <t>SKÅNE LÄN</t>
        </is>
      </c>
      <c r="E415" t="inlineStr">
        <is>
          <t>OSBY</t>
        </is>
      </c>
      <c r="G415" t="n">
        <v>6.2</v>
      </c>
      <c r="H415" t="n">
        <v>0</v>
      </c>
      <c r="I415" t="n">
        <v>0</v>
      </c>
      <c r="J415" t="n">
        <v>0</v>
      </c>
      <c r="K415" t="n">
        <v>0</v>
      </c>
      <c r="L415" t="n">
        <v>0</v>
      </c>
      <c r="M415" t="n">
        <v>0</v>
      </c>
      <c r="N415" t="n">
        <v>0</v>
      </c>
      <c r="O415" t="n">
        <v>0</v>
      </c>
      <c r="P415" t="n">
        <v>0</v>
      </c>
      <c r="Q415" t="n">
        <v>0</v>
      </c>
      <c r="R415" s="2" t="inlineStr"/>
    </row>
    <row r="416" ht="15" customHeight="1">
      <c r="A416" t="inlineStr">
        <is>
          <t>A 69461-2020</t>
        </is>
      </c>
      <c r="B416" s="1" t="n">
        <v>44193</v>
      </c>
      <c r="C416" s="1" t="n">
        <v>45962</v>
      </c>
      <c r="D416" t="inlineStr">
        <is>
          <t>SKÅNE LÄN</t>
        </is>
      </c>
      <c r="E416" t="inlineStr">
        <is>
          <t>ÖSTRA GÖINGE</t>
        </is>
      </c>
      <c r="G416" t="n">
        <v>7.6</v>
      </c>
      <c r="H416" t="n">
        <v>0</v>
      </c>
      <c r="I416" t="n">
        <v>0</v>
      </c>
      <c r="J416" t="n">
        <v>0</v>
      </c>
      <c r="K416" t="n">
        <v>0</v>
      </c>
      <c r="L416" t="n">
        <v>0</v>
      </c>
      <c r="M416" t="n">
        <v>0</v>
      </c>
      <c r="N416" t="n">
        <v>0</v>
      </c>
      <c r="O416" t="n">
        <v>0</v>
      </c>
      <c r="P416" t="n">
        <v>0</v>
      </c>
      <c r="Q416" t="n">
        <v>0</v>
      </c>
      <c r="R416" s="2" t="inlineStr"/>
    </row>
    <row r="417" ht="15" customHeight="1">
      <c r="A417" t="inlineStr">
        <is>
          <t>A 48054-2021</t>
        </is>
      </c>
      <c r="B417" s="1" t="n">
        <v>44449</v>
      </c>
      <c r="C417" s="1" t="n">
        <v>45962</v>
      </c>
      <c r="D417" t="inlineStr">
        <is>
          <t>SKÅNE LÄN</t>
        </is>
      </c>
      <c r="E417" t="inlineStr">
        <is>
          <t>KRISTIANSTAD</t>
        </is>
      </c>
      <c r="F417" t="inlineStr">
        <is>
          <t>Övriga Aktiebolag</t>
        </is>
      </c>
      <c r="G417" t="n">
        <v>1</v>
      </c>
      <c r="H417" t="n">
        <v>0</v>
      </c>
      <c r="I417" t="n">
        <v>0</v>
      </c>
      <c r="J417" t="n">
        <v>0</v>
      </c>
      <c r="K417" t="n">
        <v>0</v>
      </c>
      <c r="L417" t="n">
        <v>0</v>
      </c>
      <c r="M417" t="n">
        <v>0</v>
      </c>
      <c r="N417" t="n">
        <v>0</v>
      </c>
      <c r="O417" t="n">
        <v>0</v>
      </c>
      <c r="P417" t="n">
        <v>0</v>
      </c>
      <c r="Q417" t="n">
        <v>0</v>
      </c>
      <c r="R417" s="2" t="inlineStr"/>
    </row>
    <row r="418" ht="15" customHeight="1">
      <c r="A418" t="inlineStr">
        <is>
          <t>A 50491-2021</t>
        </is>
      </c>
      <c r="B418" s="1" t="n">
        <v>44459.56425925926</v>
      </c>
      <c r="C418" s="1" t="n">
        <v>45962</v>
      </c>
      <c r="D418" t="inlineStr">
        <is>
          <t>SKÅNE LÄN</t>
        </is>
      </c>
      <c r="E418" t="inlineStr">
        <is>
          <t>OSBY</t>
        </is>
      </c>
      <c r="G418" t="n">
        <v>2.4</v>
      </c>
      <c r="H418" t="n">
        <v>0</v>
      </c>
      <c r="I418" t="n">
        <v>0</v>
      </c>
      <c r="J418" t="n">
        <v>0</v>
      </c>
      <c r="K418" t="n">
        <v>0</v>
      </c>
      <c r="L418" t="n">
        <v>0</v>
      </c>
      <c r="M418" t="n">
        <v>0</v>
      </c>
      <c r="N418" t="n">
        <v>0</v>
      </c>
      <c r="O418" t="n">
        <v>0</v>
      </c>
      <c r="P418" t="n">
        <v>0</v>
      </c>
      <c r="Q418" t="n">
        <v>0</v>
      </c>
      <c r="R418" s="2" t="inlineStr"/>
    </row>
    <row r="419" ht="15" customHeight="1">
      <c r="A419" t="inlineStr">
        <is>
          <t>A 2774-2021</t>
        </is>
      </c>
      <c r="B419" s="1" t="n">
        <v>44215</v>
      </c>
      <c r="C419" s="1" t="n">
        <v>45962</v>
      </c>
      <c r="D419" t="inlineStr">
        <is>
          <t>SKÅNE LÄN</t>
        </is>
      </c>
      <c r="E419" t="inlineStr">
        <is>
          <t>ÖRKELLJUNGA</t>
        </is>
      </c>
      <c r="G419" t="n">
        <v>2.4</v>
      </c>
      <c r="H419" t="n">
        <v>0</v>
      </c>
      <c r="I419" t="n">
        <v>0</v>
      </c>
      <c r="J419" t="n">
        <v>0</v>
      </c>
      <c r="K419" t="n">
        <v>0</v>
      </c>
      <c r="L419" t="n">
        <v>0</v>
      </c>
      <c r="M419" t="n">
        <v>0</v>
      </c>
      <c r="N419" t="n">
        <v>0</v>
      </c>
      <c r="O419" t="n">
        <v>0</v>
      </c>
      <c r="P419" t="n">
        <v>0</v>
      </c>
      <c r="Q419" t="n">
        <v>0</v>
      </c>
      <c r="R419" s="2" t="inlineStr"/>
    </row>
    <row r="420" ht="15" customHeight="1">
      <c r="A420" t="inlineStr">
        <is>
          <t>A 12880-2021</t>
        </is>
      </c>
      <c r="B420" s="1" t="n">
        <v>44271</v>
      </c>
      <c r="C420" s="1" t="n">
        <v>45962</v>
      </c>
      <c r="D420" t="inlineStr">
        <is>
          <t>SKÅNE LÄN</t>
        </is>
      </c>
      <c r="E420" t="inlineStr">
        <is>
          <t>OSBY</t>
        </is>
      </c>
      <c r="G420" t="n">
        <v>1.7</v>
      </c>
      <c r="H420" t="n">
        <v>0</v>
      </c>
      <c r="I420" t="n">
        <v>0</v>
      </c>
      <c r="J420" t="n">
        <v>0</v>
      </c>
      <c r="K420" t="n">
        <v>0</v>
      </c>
      <c r="L420" t="n">
        <v>0</v>
      </c>
      <c r="M420" t="n">
        <v>0</v>
      </c>
      <c r="N420" t="n">
        <v>0</v>
      </c>
      <c r="O420" t="n">
        <v>0</v>
      </c>
      <c r="P420" t="n">
        <v>0</v>
      </c>
      <c r="Q420" t="n">
        <v>0</v>
      </c>
      <c r="R420" s="2" t="inlineStr"/>
    </row>
    <row r="421" ht="15" customHeight="1">
      <c r="A421" t="inlineStr">
        <is>
          <t>A 13585-2021</t>
        </is>
      </c>
      <c r="B421" s="1" t="n">
        <v>44274.31954861111</v>
      </c>
      <c r="C421" s="1" t="n">
        <v>45962</v>
      </c>
      <c r="D421" t="inlineStr">
        <is>
          <t>SKÅNE LÄN</t>
        </is>
      </c>
      <c r="E421" t="inlineStr">
        <is>
          <t>ÖSTRA GÖINGE</t>
        </is>
      </c>
      <c r="G421" t="n">
        <v>0.9</v>
      </c>
      <c r="H421" t="n">
        <v>0</v>
      </c>
      <c r="I421" t="n">
        <v>0</v>
      </c>
      <c r="J421" t="n">
        <v>0</v>
      </c>
      <c r="K421" t="n">
        <v>0</v>
      </c>
      <c r="L421" t="n">
        <v>0</v>
      </c>
      <c r="M421" t="n">
        <v>0</v>
      </c>
      <c r="N421" t="n">
        <v>0</v>
      </c>
      <c r="O421" t="n">
        <v>0</v>
      </c>
      <c r="P421" t="n">
        <v>0</v>
      </c>
      <c r="Q421" t="n">
        <v>0</v>
      </c>
      <c r="R421" s="2" t="inlineStr"/>
    </row>
    <row r="422" ht="15" customHeight="1">
      <c r="A422" t="inlineStr">
        <is>
          <t>A 9459-2021</t>
        </is>
      </c>
      <c r="B422" s="1" t="n">
        <v>44251.42832175926</v>
      </c>
      <c r="C422" s="1" t="n">
        <v>45962</v>
      </c>
      <c r="D422" t="inlineStr">
        <is>
          <t>SKÅNE LÄN</t>
        </is>
      </c>
      <c r="E422" t="inlineStr">
        <is>
          <t>ÖSTRA GÖINGE</t>
        </is>
      </c>
      <c r="G422" t="n">
        <v>2.1</v>
      </c>
      <c r="H422" t="n">
        <v>0</v>
      </c>
      <c r="I422" t="n">
        <v>0</v>
      </c>
      <c r="J422" t="n">
        <v>0</v>
      </c>
      <c r="K422" t="n">
        <v>0</v>
      </c>
      <c r="L422" t="n">
        <v>0</v>
      </c>
      <c r="M422" t="n">
        <v>0</v>
      </c>
      <c r="N422" t="n">
        <v>0</v>
      </c>
      <c r="O422" t="n">
        <v>0</v>
      </c>
      <c r="P422" t="n">
        <v>0</v>
      </c>
      <c r="Q422" t="n">
        <v>0</v>
      </c>
      <c r="R422" s="2" t="inlineStr"/>
    </row>
    <row r="423" ht="15" customHeight="1">
      <c r="A423" t="inlineStr">
        <is>
          <t>A 2408-2021</t>
        </is>
      </c>
      <c r="B423" s="1" t="n">
        <v>44214</v>
      </c>
      <c r="C423" s="1" t="n">
        <v>45962</v>
      </c>
      <c r="D423" t="inlineStr">
        <is>
          <t>SKÅNE LÄN</t>
        </is>
      </c>
      <c r="E423" t="inlineStr">
        <is>
          <t>OSBY</t>
        </is>
      </c>
      <c r="G423" t="n">
        <v>2.8</v>
      </c>
      <c r="H423" t="n">
        <v>0</v>
      </c>
      <c r="I423" t="n">
        <v>0</v>
      </c>
      <c r="J423" t="n">
        <v>0</v>
      </c>
      <c r="K423" t="n">
        <v>0</v>
      </c>
      <c r="L423" t="n">
        <v>0</v>
      </c>
      <c r="M423" t="n">
        <v>0</v>
      </c>
      <c r="N423" t="n">
        <v>0</v>
      </c>
      <c r="O423" t="n">
        <v>0</v>
      </c>
      <c r="P423" t="n">
        <v>0</v>
      </c>
      <c r="Q423" t="n">
        <v>0</v>
      </c>
      <c r="R423" s="2" t="inlineStr"/>
    </row>
    <row r="424" ht="15" customHeight="1">
      <c r="A424" t="inlineStr">
        <is>
          <t>A 9510-2021</t>
        </is>
      </c>
      <c r="B424" s="1" t="n">
        <v>44251</v>
      </c>
      <c r="C424" s="1" t="n">
        <v>45962</v>
      </c>
      <c r="D424" t="inlineStr">
        <is>
          <t>SKÅNE LÄN</t>
        </is>
      </c>
      <c r="E424" t="inlineStr">
        <is>
          <t>TOMELILLA</t>
        </is>
      </c>
      <c r="F424" t="inlineStr">
        <is>
          <t>Övriga Aktiebolag</t>
        </is>
      </c>
      <c r="G424" t="n">
        <v>2.3</v>
      </c>
      <c r="H424" t="n">
        <v>0</v>
      </c>
      <c r="I424" t="n">
        <v>0</v>
      </c>
      <c r="J424" t="n">
        <v>0</v>
      </c>
      <c r="K424" t="n">
        <v>0</v>
      </c>
      <c r="L424" t="n">
        <v>0</v>
      </c>
      <c r="M424" t="n">
        <v>0</v>
      </c>
      <c r="N424" t="n">
        <v>0</v>
      </c>
      <c r="O424" t="n">
        <v>0</v>
      </c>
      <c r="P424" t="n">
        <v>0</v>
      </c>
      <c r="Q424" t="n">
        <v>0</v>
      </c>
      <c r="R424" s="2" t="inlineStr"/>
    </row>
    <row r="425" ht="15" customHeight="1">
      <c r="A425" t="inlineStr">
        <is>
          <t>A 1828-2021</t>
        </is>
      </c>
      <c r="B425" s="1" t="n">
        <v>44210</v>
      </c>
      <c r="C425" s="1" t="n">
        <v>45962</v>
      </c>
      <c r="D425" t="inlineStr">
        <is>
          <t>SKÅNE LÄN</t>
        </is>
      </c>
      <c r="E425" t="inlineStr">
        <is>
          <t>OSBY</t>
        </is>
      </c>
      <c r="G425" t="n">
        <v>4.9</v>
      </c>
      <c r="H425" t="n">
        <v>0</v>
      </c>
      <c r="I425" t="n">
        <v>0</v>
      </c>
      <c r="J425" t="n">
        <v>0</v>
      </c>
      <c r="K425" t="n">
        <v>0</v>
      </c>
      <c r="L425" t="n">
        <v>0</v>
      </c>
      <c r="M425" t="n">
        <v>0</v>
      </c>
      <c r="N425" t="n">
        <v>0</v>
      </c>
      <c r="O425" t="n">
        <v>0</v>
      </c>
      <c r="P425" t="n">
        <v>0</v>
      </c>
      <c r="Q425" t="n">
        <v>0</v>
      </c>
      <c r="R425" s="2" t="inlineStr"/>
    </row>
    <row r="426" ht="15" customHeight="1">
      <c r="A426" t="inlineStr">
        <is>
          <t>A 12182-2021</t>
        </is>
      </c>
      <c r="B426" s="1" t="n">
        <v>44266.62806712963</v>
      </c>
      <c r="C426" s="1" t="n">
        <v>45962</v>
      </c>
      <c r="D426" t="inlineStr">
        <is>
          <t>SKÅNE LÄN</t>
        </is>
      </c>
      <c r="E426" t="inlineStr">
        <is>
          <t>HÖRBY</t>
        </is>
      </c>
      <c r="G426" t="n">
        <v>3.1</v>
      </c>
      <c r="H426" t="n">
        <v>0</v>
      </c>
      <c r="I426" t="n">
        <v>0</v>
      </c>
      <c r="J426" t="n">
        <v>0</v>
      </c>
      <c r="K426" t="n">
        <v>0</v>
      </c>
      <c r="L426" t="n">
        <v>0</v>
      </c>
      <c r="M426" t="n">
        <v>0</v>
      </c>
      <c r="N426" t="n">
        <v>0</v>
      </c>
      <c r="O426" t="n">
        <v>0</v>
      </c>
      <c r="P426" t="n">
        <v>0</v>
      </c>
      <c r="Q426" t="n">
        <v>0</v>
      </c>
      <c r="R426" s="2" t="inlineStr"/>
    </row>
    <row r="427" ht="15" customHeight="1">
      <c r="A427" t="inlineStr">
        <is>
          <t>A 61592-2020</t>
        </is>
      </c>
      <c r="B427" s="1" t="n">
        <v>44158</v>
      </c>
      <c r="C427" s="1" t="n">
        <v>45962</v>
      </c>
      <c r="D427" t="inlineStr">
        <is>
          <t>SKÅNE LÄN</t>
        </is>
      </c>
      <c r="E427" t="inlineStr">
        <is>
          <t>OSBY</t>
        </is>
      </c>
      <c r="G427" t="n">
        <v>0.6</v>
      </c>
      <c r="H427" t="n">
        <v>0</v>
      </c>
      <c r="I427" t="n">
        <v>0</v>
      </c>
      <c r="J427" t="n">
        <v>0</v>
      </c>
      <c r="K427" t="n">
        <v>0</v>
      </c>
      <c r="L427" t="n">
        <v>0</v>
      </c>
      <c r="M427" t="n">
        <v>0</v>
      </c>
      <c r="N427" t="n">
        <v>0</v>
      </c>
      <c r="O427" t="n">
        <v>0</v>
      </c>
      <c r="P427" t="n">
        <v>0</v>
      </c>
      <c r="Q427" t="n">
        <v>0</v>
      </c>
      <c r="R427" s="2" t="inlineStr"/>
    </row>
    <row r="428" ht="15" customHeight="1">
      <c r="A428" t="inlineStr">
        <is>
          <t>A 61510-2021</t>
        </is>
      </c>
      <c r="B428" s="1" t="n">
        <v>44501</v>
      </c>
      <c r="C428" s="1" t="n">
        <v>45962</v>
      </c>
      <c r="D428" t="inlineStr">
        <is>
          <t>SKÅNE LÄN</t>
        </is>
      </c>
      <c r="E428" t="inlineStr">
        <is>
          <t>HÄSSLEHOLM</t>
        </is>
      </c>
      <c r="G428" t="n">
        <v>6.1</v>
      </c>
      <c r="H428" t="n">
        <v>0</v>
      </c>
      <c r="I428" t="n">
        <v>0</v>
      </c>
      <c r="J428" t="n">
        <v>0</v>
      </c>
      <c r="K428" t="n">
        <v>0</v>
      </c>
      <c r="L428" t="n">
        <v>0</v>
      </c>
      <c r="M428" t="n">
        <v>0</v>
      </c>
      <c r="N428" t="n">
        <v>0</v>
      </c>
      <c r="O428" t="n">
        <v>0</v>
      </c>
      <c r="P428" t="n">
        <v>0</v>
      </c>
      <c r="Q428" t="n">
        <v>0</v>
      </c>
      <c r="R428" s="2" t="inlineStr"/>
    </row>
    <row r="429" ht="15" customHeight="1">
      <c r="A429" t="inlineStr">
        <is>
          <t>A 73927-2021</t>
        </is>
      </c>
      <c r="B429" s="1" t="n">
        <v>44553</v>
      </c>
      <c r="C429" s="1" t="n">
        <v>45962</v>
      </c>
      <c r="D429" t="inlineStr">
        <is>
          <t>SKÅNE LÄN</t>
        </is>
      </c>
      <c r="E429" t="inlineStr">
        <is>
          <t>OSBY</t>
        </is>
      </c>
      <c r="G429" t="n">
        <v>1.3</v>
      </c>
      <c r="H429" t="n">
        <v>0</v>
      </c>
      <c r="I429" t="n">
        <v>0</v>
      </c>
      <c r="J429" t="n">
        <v>0</v>
      </c>
      <c r="K429" t="n">
        <v>0</v>
      </c>
      <c r="L429" t="n">
        <v>0</v>
      </c>
      <c r="M429" t="n">
        <v>0</v>
      </c>
      <c r="N429" t="n">
        <v>0</v>
      </c>
      <c r="O429" t="n">
        <v>0</v>
      </c>
      <c r="P429" t="n">
        <v>0</v>
      </c>
      <c r="Q429" t="n">
        <v>0</v>
      </c>
      <c r="R429" s="2" t="inlineStr"/>
    </row>
    <row r="430" ht="15" customHeight="1">
      <c r="A430" t="inlineStr">
        <is>
          <t>A 74078-2021</t>
        </is>
      </c>
      <c r="B430" s="1" t="n">
        <v>44557.56232638889</v>
      </c>
      <c r="C430" s="1" t="n">
        <v>45962</v>
      </c>
      <c r="D430" t="inlineStr">
        <is>
          <t>SKÅNE LÄN</t>
        </is>
      </c>
      <c r="E430" t="inlineStr">
        <is>
          <t>ÖSTRA GÖINGE</t>
        </is>
      </c>
      <c r="G430" t="n">
        <v>0.5</v>
      </c>
      <c r="H430" t="n">
        <v>0</v>
      </c>
      <c r="I430" t="n">
        <v>0</v>
      </c>
      <c r="J430" t="n">
        <v>0</v>
      </c>
      <c r="K430" t="n">
        <v>0</v>
      </c>
      <c r="L430" t="n">
        <v>0</v>
      </c>
      <c r="M430" t="n">
        <v>0</v>
      </c>
      <c r="N430" t="n">
        <v>0</v>
      </c>
      <c r="O430" t="n">
        <v>0</v>
      </c>
      <c r="P430" t="n">
        <v>0</v>
      </c>
      <c r="Q430" t="n">
        <v>0</v>
      </c>
      <c r="R430" s="2" t="inlineStr"/>
    </row>
    <row r="431" ht="15" customHeight="1">
      <c r="A431" t="inlineStr">
        <is>
          <t>A 20426-2021</t>
        </is>
      </c>
      <c r="B431" s="1" t="n">
        <v>44315.56872685185</v>
      </c>
      <c r="C431" s="1" t="n">
        <v>45962</v>
      </c>
      <c r="D431" t="inlineStr">
        <is>
          <t>SKÅNE LÄN</t>
        </is>
      </c>
      <c r="E431" t="inlineStr">
        <is>
          <t>ÖSTRA GÖINGE</t>
        </is>
      </c>
      <c r="G431" t="n">
        <v>1.2</v>
      </c>
      <c r="H431" t="n">
        <v>0</v>
      </c>
      <c r="I431" t="n">
        <v>0</v>
      </c>
      <c r="J431" t="n">
        <v>0</v>
      </c>
      <c r="K431" t="n">
        <v>0</v>
      </c>
      <c r="L431" t="n">
        <v>0</v>
      </c>
      <c r="M431" t="n">
        <v>0</v>
      </c>
      <c r="N431" t="n">
        <v>0</v>
      </c>
      <c r="O431" t="n">
        <v>0</v>
      </c>
      <c r="P431" t="n">
        <v>0</v>
      </c>
      <c r="Q431" t="n">
        <v>0</v>
      </c>
      <c r="R431" s="2" t="inlineStr"/>
    </row>
    <row r="432" ht="15" customHeight="1">
      <c r="A432" t="inlineStr">
        <is>
          <t>A 23841-2021</t>
        </is>
      </c>
      <c r="B432" s="1" t="n">
        <v>44335</v>
      </c>
      <c r="C432" s="1" t="n">
        <v>45962</v>
      </c>
      <c r="D432" t="inlineStr">
        <is>
          <t>SKÅNE LÄN</t>
        </is>
      </c>
      <c r="E432" t="inlineStr">
        <is>
          <t>HÄSSLEHOLM</t>
        </is>
      </c>
      <c r="G432" t="n">
        <v>16.9</v>
      </c>
      <c r="H432" t="n">
        <v>0</v>
      </c>
      <c r="I432" t="n">
        <v>0</v>
      </c>
      <c r="J432" t="n">
        <v>0</v>
      </c>
      <c r="K432" t="n">
        <v>0</v>
      </c>
      <c r="L432" t="n">
        <v>0</v>
      </c>
      <c r="M432" t="n">
        <v>0</v>
      </c>
      <c r="N432" t="n">
        <v>0</v>
      </c>
      <c r="O432" t="n">
        <v>0</v>
      </c>
      <c r="P432" t="n">
        <v>0</v>
      </c>
      <c r="Q432" t="n">
        <v>0</v>
      </c>
      <c r="R432" s="2" t="inlineStr"/>
    </row>
    <row r="433" ht="15" customHeight="1">
      <c r="A433" t="inlineStr">
        <is>
          <t>A 63109-2020</t>
        </is>
      </c>
      <c r="B433" s="1" t="n">
        <v>44162</v>
      </c>
      <c r="C433" s="1" t="n">
        <v>45962</v>
      </c>
      <c r="D433" t="inlineStr">
        <is>
          <t>SKÅNE LÄN</t>
        </is>
      </c>
      <c r="E433" t="inlineStr">
        <is>
          <t>SJÖBO</t>
        </is>
      </c>
      <c r="G433" t="n">
        <v>16.1</v>
      </c>
      <c r="H433" t="n">
        <v>0</v>
      </c>
      <c r="I433" t="n">
        <v>0</v>
      </c>
      <c r="J433" t="n">
        <v>0</v>
      </c>
      <c r="K433" t="n">
        <v>0</v>
      </c>
      <c r="L433" t="n">
        <v>0</v>
      </c>
      <c r="M433" t="n">
        <v>0</v>
      </c>
      <c r="N433" t="n">
        <v>0</v>
      </c>
      <c r="O433" t="n">
        <v>0</v>
      </c>
      <c r="P433" t="n">
        <v>0</v>
      </c>
      <c r="Q433" t="n">
        <v>0</v>
      </c>
      <c r="R433" s="2" t="inlineStr"/>
    </row>
    <row r="434" ht="15" customHeight="1">
      <c r="A434" t="inlineStr">
        <is>
          <t>A 69993-2021</t>
        </is>
      </c>
      <c r="B434" s="1" t="n">
        <v>44533</v>
      </c>
      <c r="C434" s="1" t="n">
        <v>45962</v>
      </c>
      <c r="D434" t="inlineStr">
        <is>
          <t>SKÅNE LÄN</t>
        </is>
      </c>
      <c r="E434" t="inlineStr">
        <is>
          <t>KRISTIANSTAD</t>
        </is>
      </c>
      <c r="G434" t="n">
        <v>6</v>
      </c>
      <c r="H434" t="n">
        <v>0</v>
      </c>
      <c r="I434" t="n">
        <v>0</v>
      </c>
      <c r="J434" t="n">
        <v>0</v>
      </c>
      <c r="K434" t="n">
        <v>0</v>
      </c>
      <c r="L434" t="n">
        <v>0</v>
      </c>
      <c r="M434" t="n">
        <v>0</v>
      </c>
      <c r="N434" t="n">
        <v>0</v>
      </c>
      <c r="O434" t="n">
        <v>0</v>
      </c>
      <c r="P434" t="n">
        <v>0</v>
      </c>
      <c r="Q434" t="n">
        <v>0</v>
      </c>
      <c r="R434" s="2" t="inlineStr"/>
    </row>
    <row r="435" ht="15" customHeight="1">
      <c r="A435" t="inlineStr">
        <is>
          <t>A 64128-2021</t>
        </is>
      </c>
      <c r="B435" s="1" t="n">
        <v>44509</v>
      </c>
      <c r="C435" s="1" t="n">
        <v>45962</v>
      </c>
      <c r="D435" t="inlineStr">
        <is>
          <t>SKÅNE LÄN</t>
        </is>
      </c>
      <c r="E435" t="inlineStr">
        <is>
          <t>HÖRBY</t>
        </is>
      </c>
      <c r="G435" t="n">
        <v>0.4</v>
      </c>
      <c r="H435" t="n">
        <v>0</v>
      </c>
      <c r="I435" t="n">
        <v>0</v>
      </c>
      <c r="J435" t="n">
        <v>0</v>
      </c>
      <c r="K435" t="n">
        <v>0</v>
      </c>
      <c r="L435" t="n">
        <v>0</v>
      </c>
      <c r="M435" t="n">
        <v>0</v>
      </c>
      <c r="N435" t="n">
        <v>0</v>
      </c>
      <c r="O435" t="n">
        <v>0</v>
      </c>
      <c r="P435" t="n">
        <v>0</v>
      </c>
      <c r="Q435" t="n">
        <v>0</v>
      </c>
      <c r="R435" s="2" t="inlineStr"/>
    </row>
    <row r="436" ht="15" customHeight="1">
      <c r="A436" t="inlineStr">
        <is>
          <t>A 2781-2021</t>
        </is>
      </c>
      <c r="B436" s="1" t="n">
        <v>44215</v>
      </c>
      <c r="C436" s="1" t="n">
        <v>45962</v>
      </c>
      <c r="D436" t="inlineStr">
        <is>
          <t>SKÅNE LÄN</t>
        </is>
      </c>
      <c r="E436" t="inlineStr">
        <is>
          <t>ÖRKELLJUNGA</t>
        </is>
      </c>
      <c r="G436" t="n">
        <v>3.7</v>
      </c>
      <c r="H436" t="n">
        <v>0</v>
      </c>
      <c r="I436" t="n">
        <v>0</v>
      </c>
      <c r="J436" t="n">
        <v>0</v>
      </c>
      <c r="K436" t="n">
        <v>0</v>
      </c>
      <c r="L436" t="n">
        <v>0</v>
      </c>
      <c r="M436" t="n">
        <v>0</v>
      </c>
      <c r="N436" t="n">
        <v>0</v>
      </c>
      <c r="O436" t="n">
        <v>0</v>
      </c>
      <c r="P436" t="n">
        <v>0</v>
      </c>
      <c r="Q436" t="n">
        <v>0</v>
      </c>
      <c r="R436" s="2" t="inlineStr"/>
    </row>
    <row r="437" ht="15" customHeight="1">
      <c r="A437" t="inlineStr">
        <is>
          <t>A 15712-2021</t>
        </is>
      </c>
      <c r="B437" s="1" t="n">
        <v>44286</v>
      </c>
      <c r="C437" s="1" t="n">
        <v>45962</v>
      </c>
      <c r="D437" t="inlineStr">
        <is>
          <t>SKÅNE LÄN</t>
        </is>
      </c>
      <c r="E437" t="inlineStr">
        <is>
          <t>KRISTIANSTAD</t>
        </is>
      </c>
      <c r="G437" t="n">
        <v>0.2</v>
      </c>
      <c r="H437" t="n">
        <v>0</v>
      </c>
      <c r="I437" t="n">
        <v>0</v>
      </c>
      <c r="J437" t="n">
        <v>0</v>
      </c>
      <c r="K437" t="n">
        <v>0</v>
      </c>
      <c r="L437" t="n">
        <v>0</v>
      </c>
      <c r="M437" t="n">
        <v>0</v>
      </c>
      <c r="N437" t="n">
        <v>0</v>
      </c>
      <c r="O437" t="n">
        <v>0</v>
      </c>
      <c r="P437" t="n">
        <v>0</v>
      </c>
      <c r="Q437" t="n">
        <v>0</v>
      </c>
      <c r="R437" s="2" t="inlineStr"/>
    </row>
    <row r="438" ht="15" customHeight="1">
      <c r="A438" t="inlineStr">
        <is>
          <t>A 1136-2021</t>
        </is>
      </c>
      <c r="B438" s="1" t="n">
        <v>44207</v>
      </c>
      <c r="C438" s="1" t="n">
        <v>45962</v>
      </c>
      <c r="D438" t="inlineStr">
        <is>
          <t>SKÅNE LÄN</t>
        </is>
      </c>
      <c r="E438" t="inlineStr">
        <is>
          <t>ÖRKELLJUNGA</t>
        </is>
      </c>
      <c r="G438" t="n">
        <v>0.9</v>
      </c>
      <c r="H438" t="n">
        <v>0</v>
      </c>
      <c r="I438" t="n">
        <v>0</v>
      </c>
      <c r="J438" t="n">
        <v>0</v>
      </c>
      <c r="K438" t="n">
        <v>0</v>
      </c>
      <c r="L438" t="n">
        <v>0</v>
      </c>
      <c r="M438" t="n">
        <v>0</v>
      </c>
      <c r="N438" t="n">
        <v>0</v>
      </c>
      <c r="O438" t="n">
        <v>0</v>
      </c>
      <c r="P438" t="n">
        <v>0</v>
      </c>
      <c r="Q438" t="n">
        <v>0</v>
      </c>
      <c r="R438" s="2" t="inlineStr"/>
    </row>
    <row r="439" ht="15" customHeight="1">
      <c r="A439" t="inlineStr">
        <is>
          <t>A 2980-2021</t>
        </is>
      </c>
      <c r="B439" s="1" t="n">
        <v>44216</v>
      </c>
      <c r="C439" s="1" t="n">
        <v>45962</v>
      </c>
      <c r="D439" t="inlineStr">
        <is>
          <t>SKÅNE LÄN</t>
        </is>
      </c>
      <c r="E439" t="inlineStr">
        <is>
          <t>ÖRKELLJUNGA</t>
        </is>
      </c>
      <c r="F439" t="inlineStr">
        <is>
          <t>Kyrkan</t>
        </is>
      </c>
      <c r="G439" t="n">
        <v>1.5</v>
      </c>
      <c r="H439" t="n">
        <v>0</v>
      </c>
      <c r="I439" t="n">
        <v>0</v>
      </c>
      <c r="J439" t="n">
        <v>0</v>
      </c>
      <c r="K439" t="n">
        <v>0</v>
      </c>
      <c r="L439" t="n">
        <v>0</v>
      </c>
      <c r="M439" t="n">
        <v>0</v>
      </c>
      <c r="N439" t="n">
        <v>0</v>
      </c>
      <c r="O439" t="n">
        <v>0</v>
      </c>
      <c r="P439" t="n">
        <v>0</v>
      </c>
      <c r="Q439" t="n">
        <v>0</v>
      </c>
      <c r="R439" s="2" t="inlineStr"/>
    </row>
    <row r="440" ht="15" customHeight="1">
      <c r="A440" t="inlineStr">
        <is>
          <t>A 1445-2021</t>
        </is>
      </c>
      <c r="B440" s="1" t="n">
        <v>44208</v>
      </c>
      <c r="C440" s="1" t="n">
        <v>45962</v>
      </c>
      <c r="D440" t="inlineStr">
        <is>
          <t>SKÅNE LÄN</t>
        </is>
      </c>
      <c r="E440" t="inlineStr">
        <is>
          <t>HÄSSLEHOLM</t>
        </is>
      </c>
      <c r="G440" t="n">
        <v>4.6</v>
      </c>
      <c r="H440" t="n">
        <v>0</v>
      </c>
      <c r="I440" t="n">
        <v>0</v>
      </c>
      <c r="J440" t="n">
        <v>0</v>
      </c>
      <c r="K440" t="n">
        <v>0</v>
      </c>
      <c r="L440" t="n">
        <v>0</v>
      </c>
      <c r="M440" t="n">
        <v>0</v>
      </c>
      <c r="N440" t="n">
        <v>0</v>
      </c>
      <c r="O440" t="n">
        <v>0</v>
      </c>
      <c r="P440" t="n">
        <v>0</v>
      </c>
      <c r="Q440" t="n">
        <v>0</v>
      </c>
      <c r="R440" s="2" t="inlineStr"/>
    </row>
    <row r="441" ht="15" customHeight="1">
      <c r="A441" t="inlineStr">
        <is>
          <t>A 36280-2021</t>
        </is>
      </c>
      <c r="B441" s="1" t="n">
        <v>44389</v>
      </c>
      <c r="C441" s="1" t="n">
        <v>45962</v>
      </c>
      <c r="D441" t="inlineStr">
        <is>
          <t>SKÅNE LÄN</t>
        </is>
      </c>
      <c r="E441" t="inlineStr">
        <is>
          <t>HÄSSLEHOLM</t>
        </is>
      </c>
      <c r="G441" t="n">
        <v>1.5</v>
      </c>
      <c r="H441" t="n">
        <v>0</v>
      </c>
      <c r="I441" t="n">
        <v>0</v>
      </c>
      <c r="J441" t="n">
        <v>0</v>
      </c>
      <c r="K441" t="n">
        <v>0</v>
      </c>
      <c r="L441" t="n">
        <v>0</v>
      </c>
      <c r="M441" t="n">
        <v>0</v>
      </c>
      <c r="N441" t="n">
        <v>0</v>
      </c>
      <c r="O441" t="n">
        <v>0</v>
      </c>
      <c r="P441" t="n">
        <v>0</v>
      </c>
      <c r="Q441" t="n">
        <v>0</v>
      </c>
      <c r="R441" s="2" t="inlineStr"/>
    </row>
    <row r="442" ht="15" customHeight="1">
      <c r="A442" t="inlineStr">
        <is>
          <t>A 40862-2021</t>
        </is>
      </c>
      <c r="B442" s="1" t="n">
        <v>44421</v>
      </c>
      <c r="C442" s="1" t="n">
        <v>45962</v>
      </c>
      <c r="D442" t="inlineStr">
        <is>
          <t>SKÅNE LÄN</t>
        </is>
      </c>
      <c r="E442" t="inlineStr">
        <is>
          <t>OSBY</t>
        </is>
      </c>
      <c r="G442" t="n">
        <v>1.9</v>
      </c>
      <c r="H442" t="n">
        <v>0</v>
      </c>
      <c r="I442" t="n">
        <v>0</v>
      </c>
      <c r="J442" t="n">
        <v>0</v>
      </c>
      <c r="K442" t="n">
        <v>0</v>
      </c>
      <c r="L442" t="n">
        <v>0</v>
      </c>
      <c r="M442" t="n">
        <v>0</v>
      </c>
      <c r="N442" t="n">
        <v>0</v>
      </c>
      <c r="O442" t="n">
        <v>0</v>
      </c>
      <c r="P442" t="n">
        <v>0</v>
      </c>
      <c r="Q442" t="n">
        <v>0</v>
      </c>
      <c r="R442" s="2" t="inlineStr"/>
    </row>
    <row r="443" ht="15" customHeight="1">
      <c r="A443" t="inlineStr">
        <is>
          <t>A 31810-2021</t>
        </is>
      </c>
      <c r="B443" s="1" t="n">
        <v>44370.37863425926</v>
      </c>
      <c r="C443" s="1" t="n">
        <v>45962</v>
      </c>
      <c r="D443" t="inlineStr">
        <is>
          <t>SKÅNE LÄN</t>
        </is>
      </c>
      <c r="E443" t="inlineStr">
        <is>
          <t>HÖÖR</t>
        </is>
      </c>
      <c r="G443" t="n">
        <v>0.5</v>
      </c>
      <c r="H443" t="n">
        <v>0</v>
      </c>
      <c r="I443" t="n">
        <v>0</v>
      </c>
      <c r="J443" t="n">
        <v>0</v>
      </c>
      <c r="K443" t="n">
        <v>0</v>
      </c>
      <c r="L443" t="n">
        <v>0</v>
      </c>
      <c r="M443" t="n">
        <v>0</v>
      </c>
      <c r="N443" t="n">
        <v>0</v>
      </c>
      <c r="O443" t="n">
        <v>0</v>
      </c>
      <c r="P443" t="n">
        <v>0</v>
      </c>
      <c r="Q443" t="n">
        <v>0</v>
      </c>
      <c r="R443" s="2" t="inlineStr"/>
    </row>
    <row r="444" ht="15" customHeight="1">
      <c r="A444" t="inlineStr">
        <is>
          <t>A 36203-2021</t>
        </is>
      </c>
      <c r="B444" s="1" t="n">
        <v>44389</v>
      </c>
      <c r="C444" s="1" t="n">
        <v>45962</v>
      </c>
      <c r="D444" t="inlineStr">
        <is>
          <t>SKÅNE LÄN</t>
        </is>
      </c>
      <c r="E444" t="inlineStr">
        <is>
          <t>BROMÖLLA</t>
        </is>
      </c>
      <c r="G444" t="n">
        <v>0.4</v>
      </c>
      <c r="H444" t="n">
        <v>0</v>
      </c>
      <c r="I444" t="n">
        <v>0</v>
      </c>
      <c r="J444" t="n">
        <v>0</v>
      </c>
      <c r="K444" t="n">
        <v>0</v>
      </c>
      <c r="L444" t="n">
        <v>0</v>
      </c>
      <c r="M444" t="n">
        <v>0</v>
      </c>
      <c r="N444" t="n">
        <v>0</v>
      </c>
      <c r="O444" t="n">
        <v>0</v>
      </c>
      <c r="P444" t="n">
        <v>0</v>
      </c>
      <c r="Q444" t="n">
        <v>0</v>
      </c>
      <c r="R444" s="2" t="inlineStr"/>
    </row>
    <row r="445" ht="15" customHeight="1">
      <c r="A445" t="inlineStr">
        <is>
          <t>A 74093-2021</t>
        </is>
      </c>
      <c r="B445" s="1" t="n">
        <v>44557.62729166666</v>
      </c>
      <c r="C445" s="1" t="n">
        <v>45962</v>
      </c>
      <c r="D445" t="inlineStr">
        <is>
          <t>SKÅNE LÄN</t>
        </is>
      </c>
      <c r="E445" t="inlineStr">
        <is>
          <t>ÖSTRA GÖINGE</t>
        </is>
      </c>
      <c r="G445" t="n">
        <v>0.5</v>
      </c>
      <c r="H445" t="n">
        <v>0</v>
      </c>
      <c r="I445" t="n">
        <v>0</v>
      </c>
      <c r="J445" t="n">
        <v>0</v>
      </c>
      <c r="K445" t="n">
        <v>0</v>
      </c>
      <c r="L445" t="n">
        <v>0</v>
      </c>
      <c r="M445" t="n">
        <v>0</v>
      </c>
      <c r="N445" t="n">
        <v>0</v>
      </c>
      <c r="O445" t="n">
        <v>0</v>
      </c>
      <c r="P445" t="n">
        <v>0</v>
      </c>
      <c r="Q445" t="n">
        <v>0</v>
      </c>
      <c r="R445" s="2" t="inlineStr"/>
    </row>
    <row r="446" ht="15" customHeight="1">
      <c r="A446" t="inlineStr">
        <is>
          <t>A 21201-2021</t>
        </is>
      </c>
      <c r="B446" s="1" t="n">
        <v>44320</v>
      </c>
      <c r="C446" s="1" t="n">
        <v>45962</v>
      </c>
      <c r="D446" t="inlineStr">
        <is>
          <t>SKÅNE LÄN</t>
        </is>
      </c>
      <c r="E446" t="inlineStr">
        <is>
          <t>OSBY</t>
        </is>
      </c>
      <c r="G446" t="n">
        <v>1.3</v>
      </c>
      <c r="H446" t="n">
        <v>0</v>
      </c>
      <c r="I446" t="n">
        <v>0</v>
      </c>
      <c r="J446" t="n">
        <v>0</v>
      </c>
      <c r="K446" t="n">
        <v>0</v>
      </c>
      <c r="L446" t="n">
        <v>0</v>
      </c>
      <c r="M446" t="n">
        <v>0</v>
      </c>
      <c r="N446" t="n">
        <v>0</v>
      </c>
      <c r="O446" t="n">
        <v>0</v>
      </c>
      <c r="P446" t="n">
        <v>0</v>
      </c>
      <c r="Q446" t="n">
        <v>0</v>
      </c>
      <c r="R446" s="2" t="inlineStr"/>
    </row>
    <row r="447" ht="15" customHeight="1">
      <c r="A447" t="inlineStr">
        <is>
          <t>A 13223-2021</t>
        </is>
      </c>
      <c r="B447" s="1" t="n">
        <v>44272.58836805556</v>
      </c>
      <c r="C447" s="1" t="n">
        <v>45962</v>
      </c>
      <c r="D447" t="inlineStr">
        <is>
          <t>SKÅNE LÄN</t>
        </is>
      </c>
      <c r="E447" t="inlineStr">
        <is>
          <t>SIMRISHAMN</t>
        </is>
      </c>
      <c r="G447" t="n">
        <v>0.6</v>
      </c>
      <c r="H447" t="n">
        <v>0</v>
      </c>
      <c r="I447" t="n">
        <v>0</v>
      </c>
      <c r="J447" t="n">
        <v>0</v>
      </c>
      <c r="K447" t="n">
        <v>0</v>
      </c>
      <c r="L447" t="n">
        <v>0</v>
      </c>
      <c r="M447" t="n">
        <v>0</v>
      </c>
      <c r="N447" t="n">
        <v>0</v>
      </c>
      <c r="O447" t="n">
        <v>0</v>
      </c>
      <c r="P447" t="n">
        <v>0</v>
      </c>
      <c r="Q447" t="n">
        <v>0</v>
      </c>
      <c r="R447" s="2" t="inlineStr"/>
    </row>
    <row r="448" ht="15" customHeight="1">
      <c r="A448" t="inlineStr">
        <is>
          <t>A 74476-2021</t>
        </is>
      </c>
      <c r="B448" s="1" t="n">
        <v>44560.55796296296</v>
      </c>
      <c r="C448" s="1" t="n">
        <v>45962</v>
      </c>
      <c r="D448" t="inlineStr">
        <is>
          <t>SKÅNE LÄN</t>
        </is>
      </c>
      <c r="E448" t="inlineStr">
        <is>
          <t>HÄSSLEHOLM</t>
        </is>
      </c>
      <c r="G448" t="n">
        <v>0.4</v>
      </c>
      <c r="H448" t="n">
        <v>0</v>
      </c>
      <c r="I448" t="n">
        <v>0</v>
      </c>
      <c r="J448" t="n">
        <v>0</v>
      </c>
      <c r="K448" t="n">
        <v>0</v>
      </c>
      <c r="L448" t="n">
        <v>0</v>
      </c>
      <c r="M448" t="n">
        <v>0</v>
      </c>
      <c r="N448" t="n">
        <v>0</v>
      </c>
      <c r="O448" t="n">
        <v>0</v>
      </c>
      <c r="P448" t="n">
        <v>0</v>
      </c>
      <c r="Q448" t="n">
        <v>0</v>
      </c>
      <c r="R448" s="2" t="inlineStr"/>
    </row>
    <row r="449" ht="15" customHeight="1">
      <c r="A449" t="inlineStr">
        <is>
          <t>A 220-2022</t>
        </is>
      </c>
      <c r="B449" s="1" t="n">
        <v>44564</v>
      </c>
      <c r="C449" s="1" t="n">
        <v>45962</v>
      </c>
      <c r="D449" t="inlineStr">
        <is>
          <t>SKÅNE LÄN</t>
        </is>
      </c>
      <c r="E449" t="inlineStr">
        <is>
          <t>HÄSSLEHOLM</t>
        </is>
      </c>
      <c r="G449" t="n">
        <v>0.8</v>
      </c>
      <c r="H449" t="n">
        <v>0</v>
      </c>
      <c r="I449" t="n">
        <v>0</v>
      </c>
      <c r="J449" t="n">
        <v>0</v>
      </c>
      <c r="K449" t="n">
        <v>0</v>
      </c>
      <c r="L449" t="n">
        <v>0</v>
      </c>
      <c r="M449" t="n">
        <v>0</v>
      </c>
      <c r="N449" t="n">
        <v>0</v>
      </c>
      <c r="O449" t="n">
        <v>0</v>
      </c>
      <c r="P449" t="n">
        <v>0</v>
      </c>
      <c r="Q449" t="n">
        <v>0</v>
      </c>
      <c r="R449" s="2" t="inlineStr"/>
    </row>
    <row r="450" ht="15" customHeight="1">
      <c r="A450" t="inlineStr">
        <is>
          <t>A 70357-2021</t>
        </is>
      </c>
      <c r="B450" s="1" t="n">
        <v>44536</v>
      </c>
      <c r="C450" s="1" t="n">
        <v>45962</v>
      </c>
      <c r="D450" t="inlineStr">
        <is>
          <t>SKÅNE LÄN</t>
        </is>
      </c>
      <c r="E450" t="inlineStr">
        <is>
          <t>KRISTIANSTAD</t>
        </is>
      </c>
      <c r="G450" t="n">
        <v>4.2</v>
      </c>
      <c r="H450" t="n">
        <v>0</v>
      </c>
      <c r="I450" t="n">
        <v>0</v>
      </c>
      <c r="J450" t="n">
        <v>0</v>
      </c>
      <c r="K450" t="n">
        <v>0</v>
      </c>
      <c r="L450" t="n">
        <v>0</v>
      </c>
      <c r="M450" t="n">
        <v>0</v>
      </c>
      <c r="N450" t="n">
        <v>0</v>
      </c>
      <c r="O450" t="n">
        <v>0</v>
      </c>
      <c r="P450" t="n">
        <v>0</v>
      </c>
      <c r="Q450" t="n">
        <v>0</v>
      </c>
      <c r="R450" s="2" t="inlineStr"/>
    </row>
    <row r="451" ht="15" customHeight="1">
      <c r="A451" t="inlineStr">
        <is>
          <t>A 23045-2021</t>
        </is>
      </c>
      <c r="B451" s="1" t="n">
        <v>44329</v>
      </c>
      <c r="C451" s="1" t="n">
        <v>45962</v>
      </c>
      <c r="D451" t="inlineStr">
        <is>
          <t>SKÅNE LÄN</t>
        </is>
      </c>
      <c r="E451" t="inlineStr">
        <is>
          <t>HÄSSLEHOLM</t>
        </is>
      </c>
      <c r="G451" t="n">
        <v>1.9</v>
      </c>
      <c r="H451" t="n">
        <v>0</v>
      </c>
      <c r="I451" t="n">
        <v>0</v>
      </c>
      <c r="J451" t="n">
        <v>0</v>
      </c>
      <c r="K451" t="n">
        <v>0</v>
      </c>
      <c r="L451" t="n">
        <v>0</v>
      </c>
      <c r="M451" t="n">
        <v>0</v>
      </c>
      <c r="N451" t="n">
        <v>0</v>
      </c>
      <c r="O451" t="n">
        <v>0</v>
      </c>
      <c r="P451" t="n">
        <v>0</v>
      </c>
      <c r="Q451" t="n">
        <v>0</v>
      </c>
      <c r="R451" s="2" t="inlineStr"/>
    </row>
    <row r="452" ht="15" customHeight="1">
      <c r="A452" t="inlineStr">
        <is>
          <t>A 33323-2022</t>
        </is>
      </c>
      <c r="B452" s="1" t="n">
        <v>44788.44263888889</v>
      </c>
      <c r="C452" s="1" t="n">
        <v>45962</v>
      </c>
      <c r="D452" t="inlineStr">
        <is>
          <t>SKÅNE LÄN</t>
        </is>
      </c>
      <c r="E452" t="inlineStr">
        <is>
          <t>ÖRKELLJUNGA</t>
        </is>
      </c>
      <c r="G452" t="n">
        <v>2</v>
      </c>
      <c r="H452" t="n">
        <v>0</v>
      </c>
      <c r="I452" t="n">
        <v>0</v>
      </c>
      <c r="J452" t="n">
        <v>0</v>
      </c>
      <c r="K452" t="n">
        <v>0</v>
      </c>
      <c r="L452" t="n">
        <v>0</v>
      </c>
      <c r="M452" t="n">
        <v>0</v>
      </c>
      <c r="N452" t="n">
        <v>0</v>
      </c>
      <c r="O452" t="n">
        <v>0</v>
      </c>
      <c r="P452" t="n">
        <v>0</v>
      </c>
      <c r="Q452" t="n">
        <v>0</v>
      </c>
      <c r="R452" s="2" t="inlineStr"/>
    </row>
    <row r="453" ht="15" customHeight="1">
      <c r="A453" t="inlineStr">
        <is>
          <t>A 7209-2021</t>
        </is>
      </c>
      <c r="B453" s="1" t="n">
        <v>44237</v>
      </c>
      <c r="C453" s="1" t="n">
        <v>45962</v>
      </c>
      <c r="D453" t="inlineStr">
        <is>
          <t>SKÅNE LÄN</t>
        </is>
      </c>
      <c r="E453" t="inlineStr">
        <is>
          <t>KRISTIANSTAD</t>
        </is>
      </c>
      <c r="G453" t="n">
        <v>2.6</v>
      </c>
      <c r="H453" t="n">
        <v>0</v>
      </c>
      <c r="I453" t="n">
        <v>0</v>
      </c>
      <c r="J453" t="n">
        <v>0</v>
      </c>
      <c r="K453" t="n">
        <v>0</v>
      </c>
      <c r="L453" t="n">
        <v>0</v>
      </c>
      <c r="M453" t="n">
        <v>0</v>
      </c>
      <c r="N453" t="n">
        <v>0</v>
      </c>
      <c r="O453" t="n">
        <v>0</v>
      </c>
      <c r="P453" t="n">
        <v>0</v>
      </c>
      <c r="Q453" t="n">
        <v>0</v>
      </c>
      <c r="R453" s="2" t="inlineStr"/>
    </row>
    <row r="454" ht="15" customHeight="1">
      <c r="A454" t="inlineStr">
        <is>
          <t>A 2509-2021</t>
        </is>
      </c>
      <c r="B454" s="1" t="n">
        <v>44214</v>
      </c>
      <c r="C454" s="1" t="n">
        <v>45962</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38372-2021</t>
        </is>
      </c>
      <c r="B455" s="1" t="n">
        <v>44406</v>
      </c>
      <c r="C455" s="1" t="n">
        <v>45962</v>
      </c>
      <c r="D455" t="inlineStr">
        <is>
          <t>SKÅNE LÄN</t>
        </is>
      </c>
      <c r="E455" t="inlineStr">
        <is>
          <t>HÄSSLEHOLM</t>
        </is>
      </c>
      <c r="F455" t="inlineStr">
        <is>
          <t>Kommuner</t>
        </is>
      </c>
      <c r="G455" t="n">
        <v>2.7</v>
      </c>
      <c r="H455" t="n">
        <v>0</v>
      </c>
      <c r="I455" t="n">
        <v>0</v>
      </c>
      <c r="J455" t="n">
        <v>0</v>
      </c>
      <c r="K455" t="n">
        <v>0</v>
      </c>
      <c r="L455" t="n">
        <v>0</v>
      </c>
      <c r="M455" t="n">
        <v>0</v>
      </c>
      <c r="N455" t="n">
        <v>0</v>
      </c>
      <c r="O455" t="n">
        <v>0</v>
      </c>
      <c r="P455" t="n">
        <v>0</v>
      </c>
      <c r="Q455" t="n">
        <v>0</v>
      </c>
      <c r="R455" s="2" t="inlineStr"/>
    </row>
    <row r="456" ht="15" customHeight="1">
      <c r="A456" t="inlineStr">
        <is>
          <t>A 4584-2021</t>
        </is>
      </c>
      <c r="B456" s="1" t="n">
        <v>44224</v>
      </c>
      <c r="C456" s="1" t="n">
        <v>45962</v>
      </c>
      <c r="D456" t="inlineStr">
        <is>
          <t>SKÅNE LÄN</t>
        </is>
      </c>
      <c r="E456" t="inlineStr">
        <is>
          <t>OSBY</t>
        </is>
      </c>
      <c r="G456" t="n">
        <v>1</v>
      </c>
      <c r="H456" t="n">
        <v>0</v>
      </c>
      <c r="I456" t="n">
        <v>0</v>
      </c>
      <c r="J456" t="n">
        <v>0</v>
      </c>
      <c r="K456" t="n">
        <v>0</v>
      </c>
      <c r="L456" t="n">
        <v>0</v>
      </c>
      <c r="M456" t="n">
        <v>0</v>
      </c>
      <c r="N456" t="n">
        <v>0</v>
      </c>
      <c r="O456" t="n">
        <v>0</v>
      </c>
      <c r="P456" t="n">
        <v>0</v>
      </c>
      <c r="Q456" t="n">
        <v>0</v>
      </c>
      <c r="R456" s="2" t="inlineStr"/>
    </row>
    <row r="457" ht="15" customHeight="1">
      <c r="A457" t="inlineStr">
        <is>
          <t>A 2412-2021</t>
        </is>
      </c>
      <c r="B457" s="1" t="n">
        <v>44214</v>
      </c>
      <c r="C457" s="1" t="n">
        <v>45962</v>
      </c>
      <c r="D457" t="inlineStr">
        <is>
          <t>SKÅNE LÄN</t>
        </is>
      </c>
      <c r="E457" t="inlineStr">
        <is>
          <t>OSBY</t>
        </is>
      </c>
      <c r="G457" t="n">
        <v>1.7</v>
      </c>
      <c r="H457" t="n">
        <v>0</v>
      </c>
      <c r="I457" t="n">
        <v>0</v>
      </c>
      <c r="J457" t="n">
        <v>0</v>
      </c>
      <c r="K457" t="n">
        <v>0</v>
      </c>
      <c r="L457" t="n">
        <v>0</v>
      </c>
      <c r="M457" t="n">
        <v>0</v>
      </c>
      <c r="N457" t="n">
        <v>0</v>
      </c>
      <c r="O457" t="n">
        <v>0</v>
      </c>
      <c r="P457" t="n">
        <v>0</v>
      </c>
      <c r="Q457" t="n">
        <v>0</v>
      </c>
      <c r="R457" s="2" t="inlineStr"/>
    </row>
    <row r="458" ht="15" customHeight="1">
      <c r="A458" t="inlineStr">
        <is>
          <t>A 40196-2022</t>
        </is>
      </c>
      <c r="B458" s="1" t="n">
        <v>44820.59869212963</v>
      </c>
      <c r="C458" s="1" t="n">
        <v>45962</v>
      </c>
      <c r="D458" t="inlineStr">
        <is>
          <t>SKÅNE LÄN</t>
        </is>
      </c>
      <c r="E458" t="inlineStr">
        <is>
          <t>ÖRKELLJUNGA</t>
        </is>
      </c>
      <c r="G458" t="n">
        <v>0.4</v>
      </c>
      <c r="H458" t="n">
        <v>0</v>
      </c>
      <c r="I458" t="n">
        <v>0</v>
      </c>
      <c r="J458" t="n">
        <v>0</v>
      </c>
      <c r="K458" t="n">
        <v>0</v>
      </c>
      <c r="L458" t="n">
        <v>0</v>
      </c>
      <c r="M458" t="n">
        <v>0</v>
      </c>
      <c r="N458" t="n">
        <v>0</v>
      </c>
      <c r="O458" t="n">
        <v>0</v>
      </c>
      <c r="P458" t="n">
        <v>0</v>
      </c>
      <c r="Q458" t="n">
        <v>0</v>
      </c>
      <c r="R458" s="2" t="inlineStr"/>
    </row>
    <row r="459" ht="15" customHeight="1">
      <c r="A459" t="inlineStr">
        <is>
          <t>A 5937-2022</t>
        </is>
      </c>
      <c r="B459" s="1" t="n">
        <v>44598</v>
      </c>
      <c r="C459" s="1" t="n">
        <v>45962</v>
      </c>
      <c r="D459" t="inlineStr">
        <is>
          <t>SKÅNE LÄN</t>
        </is>
      </c>
      <c r="E459" t="inlineStr">
        <is>
          <t>SVALÖV</t>
        </is>
      </c>
      <c r="G459" t="n">
        <v>1</v>
      </c>
      <c r="H459" t="n">
        <v>0</v>
      </c>
      <c r="I459" t="n">
        <v>0</v>
      </c>
      <c r="J459" t="n">
        <v>0</v>
      </c>
      <c r="K459" t="n">
        <v>0</v>
      </c>
      <c r="L459" t="n">
        <v>0</v>
      </c>
      <c r="M459" t="n">
        <v>0</v>
      </c>
      <c r="N459" t="n">
        <v>0</v>
      </c>
      <c r="O459" t="n">
        <v>0</v>
      </c>
      <c r="P459" t="n">
        <v>0</v>
      </c>
      <c r="Q459" t="n">
        <v>0</v>
      </c>
      <c r="R459" s="2" t="inlineStr"/>
    </row>
    <row r="460" ht="15" customHeight="1">
      <c r="A460" t="inlineStr">
        <is>
          <t>A 3714-2021</t>
        </is>
      </c>
      <c r="B460" s="1" t="n">
        <v>44221</v>
      </c>
      <c r="C460" s="1" t="n">
        <v>45962</v>
      </c>
      <c r="D460" t="inlineStr">
        <is>
          <t>SKÅNE LÄN</t>
        </is>
      </c>
      <c r="E460" t="inlineStr">
        <is>
          <t>HÄSSLEHOLM</t>
        </is>
      </c>
      <c r="G460" t="n">
        <v>1.2</v>
      </c>
      <c r="H460" t="n">
        <v>0</v>
      </c>
      <c r="I460" t="n">
        <v>0</v>
      </c>
      <c r="J460" t="n">
        <v>0</v>
      </c>
      <c r="K460" t="n">
        <v>0</v>
      </c>
      <c r="L460" t="n">
        <v>0</v>
      </c>
      <c r="M460" t="n">
        <v>0</v>
      </c>
      <c r="N460" t="n">
        <v>0</v>
      </c>
      <c r="O460" t="n">
        <v>0</v>
      </c>
      <c r="P460" t="n">
        <v>0</v>
      </c>
      <c r="Q460" t="n">
        <v>0</v>
      </c>
      <c r="R460" s="2" t="inlineStr"/>
    </row>
    <row r="461" ht="15" customHeight="1">
      <c r="A461" t="inlineStr">
        <is>
          <t>A 16326-2022</t>
        </is>
      </c>
      <c r="B461" s="1" t="n">
        <v>44670</v>
      </c>
      <c r="C461" s="1" t="n">
        <v>45962</v>
      </c>
      <c r="D461" t="inlineStr">
        <is>
          <t>SKÅNE LÄN</t>
        </is>
      </c>
      <c r="E461" t="inlineStr">
        <is>
          <t>KRISTIANSTAD</t>
        </is>
      </c>
      <c r="G461" t="n">
        <v>15.3</v>
      </c>
      <c r="H461" t="n">
        <v>0</v>
      </c>
      <c r="I461" t="n">
        <v>0</v>
      </c>
      <c r="J461" t="n">
        <v>0</v>
      </c>
      <c r="K461" t="n">
        <v>0</v>
      </c>
      <c r="L461" t="n">
        <v>0</v>
      </c>
      <c r="M461" t="n">
        <v>0</v>
      </c>
      <c r="N461" t="n">
        <v>0</v>
      </c>
      <c r="O461" t="n">
        <v>0</v>
      </c>
      <c r="P461" t="n">
        <v>0</v>
      </c>
      <c r="Q461" t="n">
        <v>0</v>
      </c>
      <c r="R461" s="2" t="inlineStr"/>
    </row>
    <row r="462" ht="15" customHeight="1">
      <c r="A462" t="inlineStr">
        <is>
          <t>A 8961-2021</t>
        </is>
      </c>
      <c r="B462" s="1" t="n">
        <v>44246</v>
      </c>
      <c r="C462" s="1" t="n">
        <v>45962</v>
      </c>
      <c r="D462" t="inlineStr">
        <is>
          <t>SKÅNE LÄN</t>
        </is>
      </c>
      <c r="E462" t="inlineStr">
        <is>
          <t>OSBY</t>
        </is>
      </c>
      <c r="G462" t="n">
        <v>0.9</v>
      </c>
      <c r="H462" t="n">
        <v>0</v>
      </c>
      <c r="I462" t="n">
        <v>0</v>
      </c>
      <c r="J462" t="n">
        <v>0</v>
      </c>
      <c r="K462" t="n">
        <v>0</v>
      </c>
      <c r="L462" t="n">
        <v>0</v>
      </c>
      <c r="M462" t="n">
        <v>0</v>
      </c>
      <c r="N462" t="n">
        <v>0</v>
      </c>
      <c r="O462" t="n">
        <v>0</v>
      </c>
      <c r="P462" t="n">
        <v>0</v>
      </c>
      <c r="Q462" t="n">
        <v>0</v>
      </c>
      <c r="R462" s="2" t="inlineStr"/>
    </row>
    <row r="463" ht="15" customHeight="1">
      <c r="A463" t="inlineStr">
        <is>
          <t>A 3483-2021</t>
        </is>
      </c>
      <c r="B463" s="1" t="n">
        <v>44218</v>
      </c>
      <c r="C463" s="1" t="n">
        <v>45962</v>
      </c>
      <c r="D463" t="inlineStr">
        <is>
          <t>SKÅNE LÄN</t>
        </is>
      </c>
      <c r="E463" t="inlineStr">
        <is>
          <t>HÄSSLEHOLM</t>
        </is>
      </c>
      <c r="G463" t="n">
        <v>2.1</v>
      </c>
      <c r="H463" t="n">
        <v>0</v>
      </c>
      <c r="I463" t="n">
        <v>0</v>
      </c>
      <c r="J463" t="n">
        <v>0</v>
      </c>
      <c r="K463" t="n">
        <v>0</v>
      </c>
      <c r="L463" t="n">
        <v>0</v>
      </c>
      <c r="M463" t="n">
        <v>0</v>
      </c>
      <c r="N463" t="n">
        <v>0</v>
      </c>
      <c r="O463" t="n">
        <v>0</v>
      </c>
      <c r="P463" t="n">
        <v>0</v>
      </c>
      <c r="Q463" t="n">
        <v>0</v>
      </c>
      <c r="R463" s="2" t="inlineStr"/>
    </row>
    <row r="464" ht="15" customHeight="1">
      <c r="A464" t="inlineStr">
        <is>
          <t>A 37135-2021</t>
        </is>
      </c>
      <c r="B464" s="1" t="n">
        <v>44396.42534722222</v>
      </c>
      <c r="C464" s="1" t="n">
        <v>45962</v>
      </c>
      <c r="D464" t="inlineStr">
        <is>
          <t>SKÅNE LÄN</t>
        </is>
      </c>
      <c r="E464" t="inlineStr">
        <is>
          <t>HÖÖR</t>
        </is>
      </c>
      <c r="G464" t="n">
        <v>1.7</v>
      </c>
      <c r="H464" t="n">
        <v>0</v>
      </c>
      <c r="I464" t="n">
        <v>0</v>
      </c>
      <c r="J464" t="n">
        <v>0</v>
      </c>
      <c r="K464" t="n">
        <v>0</v>
      </c>
      <c r="L464" t="n">
        <v>0</v>
      </c>
      <c r="M464" t="n">
        <v>0</v>
      </c>
      <c r="N464" t="n">
        <v>0</v>
      </c>
      <c r="O464" t="n">
        <v>0</v>
      </c>
      <c r="P464" t="n">
        <v>0</v>
      </c>
      <c r="Q464" t="n">
        <v>0</v>
      </c>
      <c r="R464" s="2" t="inlineStr"/>
    </row>
    <row r="465" ht="15" customHeight="1">
      <c r="A465" t="inlineStr">
        <is>
          <t>A 37164-2021</t>
        </is>
      </c>
      <c r="B465" s="1" t="n">
        <v>44396</v>
      </c>
      <c r="C465" s="1" t="n">
        <v>45962</v>
      </c>
      <c r="D465" t="inlineStr">
        <is>
          <t>SKÅNE LÄN</t>
        </is>
      </c>
      <c r="E465" t="inlineStr">
        <is>
          <t>ÖSTRA GÖINGE</t>
        </is>
      </c>
      <c r="G465" t="n">
        <v>0.9</v>
      </c>
      <c r="H465" t="n">
        <v>0</v>
      </c>
      <c r="I465" t="n">
        <v>0</v>
      </c>
      <c r="J465" t="n">
        <v>0</v>
      </c>
      <c r="K465" t="n">
        <v>0</v>
      </c>
      <c r="L465" t="n">
        <v>0</v>
      </c>
      <c r="M465" t="n">
        <v>0</v>
      </c>
      <c r="N465" t="n">
        <v>0</v>
      </c>
      <c r="O465" t="n">
        <v>0</v>
      </c>
      <c r="P465" t="n">
        <v>0</v>
      </c>
      <c r="Q465" t="n">
        <v>0</v>
      </c>
      <c r="R465" s="2" t="inlineStr"/>
    </row>
    <row r="466" ht="15" customHeight="1">
      <c r="A466" t="inlineStr">
        <is>
          <t>A 35727-2022</t>
        </is>
      </c>
      <c r="B466" s="1" t="n">
        <v>44799.71708333334</v>
      </c>
      <c r="C466" s="1" t="n">
        <v>45962</v>
      </c>
      <c r="D466" t="inlineStr">
        <is>
          <t>SKÅNE LÄN</t>
        </is>
      </c>
      <c r="E466" t="inlineStr">
        <is>
          <t>HÄSSLEHOLM</t>
        </is>
      </c>
      <c r="G466" t="n">
        <v>0.8</v>
      </c>
      <c r="H466" t="n">
        <v>0</v>
      </c>
      <c r="I466" t="n">
        <v>0</v>
      </c>
      <c r="J466" t="n">
        <v>0</v>
      </c>
      <c r="K466" t="n">
        <v>0</v>
      </c>
      <c r="L466" t="n">
        <v>0</v>
      </c>
      <c r="M466" t="n">
        <v>0</v>
      </c>
      <c r="N466" t="n">
        <v>0</v>
      </c>
      <c r="O466" t="n">
        <v>0</v>
      </c>
      <c r="P466" t="n">
        <v>0</v>
      </c>
      <c r="Q466" t="n">
        <v>0</v>
      </c>
      <c r="R466" s="2" t="inlineStr"/>
    </row>
    <row r="467" ht="15" customHeight="1">
      <c r="A467" t="inlineStr">
        <is>
          <t>A 44247-2022</t>
        </is>
      </c>
      <c r="B467" s="1" t="n">
        <v>44839.56018518518</v>
      </c>
      <c r="C467" s="1" t="n">
        <v>45962</v>
      </c>
      <c r="D467" t="inlineStr">
        <is>
          <t>SKÅNE LÄN</t>
        </is>
      </c>
      <c r="E467" t="inlineStr">
        <is>
          <t>ÄNGELHOLM</t>
        </is>
      </c>
      <c r="G467" t="n">
        <v>0.5</v>
      </c>
      <c r="H467" t="n">
        <v>0</v>
      </c>
      <c r="I467" t="n">
        <v>0</v>
      </c>
      <c r="J467" t="n">
        <v>0</v>
      </c>
      <c r="K467" t="n">
        <v>0</v>
      </c>
      <c r="L467" t="n">
        <v>0</v>
      </c>
      <c r="M467" t="n">
        <v>0</v>
      </c>
      <c r="N467" t="n">
        <v>0</v>
      </c>
      <c r="O467" t="n">
        <v>0</v>
      </c>
      <c r="P467" t="n">
        <v>0</v>
      </c>
      <c r="Q467" t="n">
        <v>0</v>
      </c>
      <c r="R467" s="2" t="inlineStr"/>
    </row>
    <row r="468" ht="15" customHeight="1">
      <c r="A468" t="inlineStr">
        <is>
          <t>A 54175-2021</t>
        </is>
      </c>
      <c r="B468" s="1" t="n">
        <v>44470</v>
      </c>
      <c r="C468" s="1" t="n">
        <v>45962</v>
      </c>
      <c r="D468" t="inlineStr">
        <is>
          <t>SKÅNE LÄN</t>
        </is>
      </c>
      <c r="E468" t="inlineStr">
        <is>
          <t>HÄSSLEHOLM</t>
        </is>
      </c>
      <c r="G468" t="n">
        <v>0.5</v>
      </c>
      <c r="H468" t="n">
        <v>0</v>
      </c>
      <c r="I468" t="n">
        <v>0</v>
      </c>
      <c r="J468" t="n">
        <v>0</v>
      </c>
      <c r="K468" t="n">
        <v>0</v>
      </c>
      <c r="L468" t="n">
        <v>0</v>
      </c>
      <c r="M468" t="n">
        <v>0</v>
      </c>
      <c r="N468" t="n">
        <v>0</v>
      </c>
      <c r="O468" t="n">
        <v>0</v>
      </c>
      <c r="P468" t="n">
        <v>0</v>
      </c>
      <c r="Q468" t="n">
        <v>0</v>
      </c>
      <c r="R468" s="2" t="inlineStr"/>
    </row>
    <row r="469" ht="15" customHeight="1">
      <c r="A469" t="inlineStr">
        <is>
          <t>A 49324-2021</t>
        </is>
      </c>
      <c r="B469" s="1" t="n">
        <v>44454.55060185185</v>
      </c>
      <c r="C469" s="1" t="n">
        <v>45962</v>
      </c>
      <c r="D469" t="inlineStr">
        <is>
          <t>SKÅNE LÄN</t>
        </is>
      </c>
      <c r="E469" t="inlineStr">
        <is>
          <t>HÄSSLEHOLM</t>
        </is>
      </c>
      <c r="G469" t="n">
        <v>0.9</v>
      </c>
      <c r="H469" t="n">
        <v>0</v>
      </c>
      <c r="I469" t="n">
        <v>0</v>
      </c>
      <c r="J469" t="n">
        <v>0</v>
      </c>
      <c r="K469" t="n">
        <v>0</v>
      </c>
      <c r="L469" t="n">
        <v>0</v>
      </c>
      <c r="M469" t="n">
        <v>0</v>
      </c>
      <c r="N469" t="n">
        <v>0</v>
      </c>
      <c r="O469" t="n">
        <v>0</v>
      </c>
      <c r="P469" t="n">
        <v>0</v>
      </c>
      <c r="Q469" t="n">
        <v>0</v>
      </c>
      <c r="R469" s="2" t="inlineStr"/>
    </row>
    <row r="470" ht="15" customHeight="1">
      <c r="A470" t="inlineStr">
        <is>
          <t>A 47263-2021</t>
        </is>
      </c>
      <c r="B470" s="1" t="n">
        <v>44446</v>
      </c>
      <c r="C470" s="1" t="n">
        <v>45962</v>
      </c>
      <c r="D470" t="inlineStr">
        <is>
          <t>SKÅNE LÄN</t>
        </is>
      </c>
      <c r="E470" t="inlineStr">
        <is>
          <t>PERSTORP</t>
        </is>
      </c>
      <c r="G470" t="n">
        <v>0.6</v>
      </c>
      <c r="H470" t="n">
        <v>0</v>
      </c>
      <c r="I470" t="n">
        <v>0</v>
      </c>
      <c r="J470" t="n">
        <v>0</v>
      </c>
      <c r="K470" t="n">
        <v>0</v>
      </c>
      <c r="L470" t="n">
        <v>0</v>
      </c>
      <c r="M470" t="n">
        <v>0</v>
      </c>
      <c r="N470" t="n">
        <v>0</v>
      </c>
      <c r="O470" t="n">
        <v>0</v>
      </c>
      <c r="P470" t="n">
        <v>0</v>
      </c>
      <c r="Q470" t="n">
        <v>0</v>
      </c>
      <c r="R470" s="2" t="inlineStr"/>
    </row>
    <row r="471" ht="15" customHeight="1">
      <c r="A471" t="inlineStr">
        <is>
          <t>A 9808-2022</t>
        </is>
      </c>
      <c r="B471" s="1" t="n">
        <v>44620</v>
      </c>
      <c r="C471" s="1" t="n">
        <v>45962</v>
      </c>
      <c r="D471" t="inlineStr">
        <is>
          <t>SKÅNE LÄN</t>
        </is>
      </c>
      <c r="E471" t="inlineStr">
        <is>
          <t>ÖSTRA GÖINGE</t>
        </is>
      </c>
      <c r="G471" t="n">
        <v>0.2</v>
      </c>
      <c r="H471" t="n">
        <v>0</v>
      </c>
      <c r="I471" t="n">
        <v>0</v>
      </c>
      <c r="J471" t="n">
        <v>0</v>
      </c>
      <c r="K471" t="n">
        <v>0</v>
      </c>
      <c r="L471" t="n">
        <v>0</v>
      </c>
      <c r="M471" t="n">
        <v>0</v>
      </c>
      <c r="N471" t="n">
        <v>0</v>
      </c>
      <c r="O471" t="n">
        <v>0</v>
      </c>
      <c r="P471" t="n">
        <v>0</v>
      </c>
      <c r="Q471" t="n">
        <v>0</v>
      </c>
      <c r="R471" s="2" t="inlineStr"/>
    </row>
    <row r="472" ht="15" customHeight="1">
      <c r="A472" t="inlineStr">
        <is>
          <t>A 61353-2021</t>
        </is>
      </c>
      <c r="B472" s="1" t="n">
        <v>44498.85872685185</v>
      </c>
      <c r="C472" s="1" t="n">
        <v>45962</v>
      </c>
      <c r="D472" t="inlineStr">
        <is>
          <t>SKÅNE LÄN</t>
        </is>
      </c>
      <c r="E472" t="inlineStr">
        <is>
          <t>ÖSTRA GÖINGE</t>
        </is>
      </c>
      <c r="G472" t="n">
        <v>0.8</v>
      </c>
      <c r="H472" t="n">
        <v>0</v>
      </c>
      <c r="I472" t="n">
        <v>0</v>
      </c>
      <c r="J472" t="n">
        <v>0</v>
      </c>
      <c r="K472" t="n">
        <v>0</v>
      </c>
      <c r="L472" t="n">
        <v>0</v>
      </c>
      <c r="M472" t="n">
        <v>0</v>
      </c>
      <c r="N472" t="n">
        <v>0</v>
      </c>
      <c r="O472" t="n">
        <v>0</v>
      </c>
      <c r="P472" t="n">
        <v>0</v>
      </c>
      <c r="Q472" t="n">
        <v>0</v>
      </c>
      <c r="R472" s="2" t="inlineStr"/>
    </row>
    <row r="473" ht="15" customHeight="1">
      <c r="A473" t="inlineStr">
        <is>
          <t>A 67332-2021</t>
        </is>
      </c>
      <c r="B473" s="1" t="n">
        <v>44523.68085648148</v>
      </c>
      <c r="C473" s="1" t="n">
        <v>45962</v>
      </c>
      <c r="D473" t="inlineStr">
        <is>
          <t>SKÅNE LÄN</t>
        </is>
      </c>
      <c r="E473" t="inlineStr">
        <is>
          <t>OSBY</t>
        </is>
      </c>
      <c r="G473" t="n">
        <v>0.6</v>
      </c>
      <c r="H473" t="n">
        <v>0</v>
      </c>
      <c r="I473" t="n">
        <v>0</v>
      </c>
      <c r="J473" t="n">
        <v>0</v>
      </c>
      <c r="K473" t="n">
        <v>0</v>
      </c>
      <c r="L473" t="n">
        <v>0</v>
      </c>
      <c r="M473" t="n">
        <v>0</v>
      </c>
      <c r="N473" t="n">
        <v>0</v>
      </c>
      <c r="O473" t="n">
        <v>0</v>
      </c>
      <c r="P473" t="n">
        <v>0</v>
      </c>
      <c r="Q473" t="n">
        <v>0</v>
      </c>
      <c r="R473" s="2" t="inlineStr"/>
    </row>
    <row r="474" ht="15" customHeight="1">
      <c r="A474" t="inlineStr">
        <is>
          <t>A 68105-2020</t>
        </is>
      </c>
      <c r="B474" s="1" t="n">
        <v>44183</v>
      </c>
      <c r="C474" s="1" t="n">
        <v>45962</v>
      </c>
      <c r="D474" t="inlineStr">
        <is>
          <t>SKÅNE LÄN</t>
        </is>
      </c>
      <c r="E474" t="inlineStr">
        <is>
          <t>KRISTIANSTAD</t>
        </is>
      </c>
      <c r="F474" t="inlineStr">
        <is>
          <t>Kyrkan</t>
        </is>
      </c>
      <c r="G474" t="n">
        <v>7.6</v>
      </c>
      <c r="H474" t="n">
        <v>0</v>
      </c>
      <c r="I474" t="n">
        <v>0</v>
      </c>
      <c r="J474" t="n">
        <v>0</v>
      </c>
      <c r="K474" t="n">
        <v>0</v>
      </c>
      <c r="L474" t="n">
        <v>0</v>
      </c>
      <c r="M474" t="n">
        <v>0</v>
      </c>
      <c r="N474" t="n">
        <v>0</v>
      </c>
      <c r="O474" t="n">
        <v>0</v>
      </c>
      <c r="P474" t="n">
        <v>0</v>
      </c>
      <c r="Q474" t="n">
        <v>0</v>
      </c>
      <c r="R474" s="2" t="inlineStr"/>
    </row>
    <row r="475" ht="15" customHeight="1">
      <c r="A475" t="inlineStr">
        <is>
          <t>A 2442-2022</t>
        </is>
      </c>
      <c r="B475" s="1" t="n">
        <v>44579</v>
      </c>
      <c r="C475" s="1" t="n">
        <v>45962</v>
      </c>
      <c r="D475" t="inlineStr">
        <is>
          <t>SKÅNE LÄN</t>
        </is>
      </c>
      <c r="E475" t="inlineStr">
        <is>
          <t>OSBY</t>
        </is>
      </c>
      <c r="G475" t="n">
        <v>2.8</v>
      </c>
      <c r="H475" t="n">
        <v>0</v>
      </c>
      <c r="I475" t="n">
        <v>0</v>
      </c>
      <c r="J475" t="n">
        <v>0</v>
      </c>
      <c r="K475" t="n">
        <v>0</v>
      </c>
      <c r="L475" t="n">
        <v>0</v>
      </c>
      <c r="M475" t="n">
        <v>0</v>
      </c>
      <c r="N475" t="n">
        <v>0</v>
      </c>
      <c r="O475" t="n">
        <v>0</v>
      </c>
      <c r="P475" t="n">
        <v>0</v>
      </c>
      <c r="Q475" t="n">
        <v>0</v>
      </c>
      <c r="R475" s="2" t="inlineStr"/>
    </row>
    <row r="476" ht="15" customHeight="1">
      <c r="A476" t="inlineStr">
        <is>
          <t>A 74036-2021</t>
        </is>
      </c>
      <c r="B476" s="1" t="n">
        <v>44557.46989583333</v>
      </c>
      <c r="C476" s="1" t="n">
        <v>45962</v>
      </c>
      <c r="D476" t="inlineStr">
        <is>
          <t>SKÅNE LÄN</t>
        </is>
      </c>
      <c r="E476" t="inlineStr">
        <is>
          <t>OSBY</t>
        </is>
      </c>
      <c r="G476" t="n">
        <v>1</v>
      </c>
      <c r="H476" t="n">
        <v>0</v>
      </c>
      <c r="I476" t="n">
        <v>0</v>
      </c>
      <c r="J476" t="n">
        <v>0</v>
      </c>
      <c r="K476" t="n">
        <v>0</v>
      </c>
      <c r="L476" t="n">
        <v>0</v>
      </c>
      <c r="M476" t="n">
        <v>0</v>
      </c>
      <c r="N476" t="n">
        <v>0</v>
      </c>
      <c r="O476" t="n">
        <v>0</v>
      </c>
      <c r="P476" t="n">
        <v>0</v>
      </c>
      <c r="Q476" t="n">
        <v>0</v>
      </c>
      <c r="R476" s="2" t="inlineStr"/>
    </row>
    <row r="477" ht="15" customHeight="1">
      <c r="A477" t="inlineStr">
        <is>
          <t>A 30747-2021</t>
        </is>
      </c>
      <c r="B477" s="1" t="n">
        <v>44365.46018518518</v>
      </c>
      <c r="C477" s="1" t="n">
        <v>45962</v>
      </c>
      <c r="D477" t="inlineStr">
        <is>
          <t>SKÅNE LÄN</t>
        </is>
      </c>
      <c r="E477" t="inlineStr">
        <is>
          <t>PERSTORP</t>
        </is>
      </c>
      <c r="G477" t="n">
        <v>0.7</v>
      </c>
      <c r="H477" t="n">
        <v>0</v>
      </c>
      <c r="I477" t="n">
        <v>0</v>
      </c>
      <c r="J477" t="n">
        <v>0</v>
      </c>
      <c r="K477" t="n">
        <v>0</v>
      </c>
      <c r="L477" t="n">
        <v>0</v>
      </c>
      <c r="M477" t="n">
        <v>0</v>
      </c>
      <c r="N477" t="n">
        <v>0</v>
      </c>
      <c r="O477" t="n">
        <v>0</v>
      </c>
      <c r="P477" t="n">
        <v>0</v>
      </c>
      <c r="Q477" t="n">
        <v>0</v>
      </c>
      <c r="R477" s="2" t="inlineStr"/>
    </row>
    <row r="478" ht="15" customHeight="1">
      <c r="A478" t="inlineStr">
        <is>
          <t>A 36951-2021</t>
        </is>
      </c>
      <c r="B478" s="1" t="n">
        <v>44393</v>
      </c>
      <c r="C478" s="1" t="n">
        <v>45962</v>
      </c>
      <c r="D478" t="inlineStr">
        <is>
          <t>SKÅNE LÄN</t>
        </is>
      </c>
      <c r="E478" t="inlineStr">
        <is>
          <t>YSTAD</t>
        </is>
      </c>
      <c r="G478" t="n">
        <v>3.4</v>
      </c>
      <c r="H478" t="n">
        <v>0</v>
      </c>
      <c r="I478" t="n">
        <v>0</v>
      </c>
      <c r="J478" t="n">
        <v>0</v>
      </c>
      <c r="K478" t="n">
        <v>0</v>
      </c>
      <c r="L478" t="n">
        <v>0</v>
      </c>
      <c r="M478" t="n">
        <v>0</v>
      </c>
      <c r="N478" t="n">
        <v>0</v>
      </c>
      <c r="O478" t="n">
        <v>0</v>
      </c>
      <c r="P478" t="n">
        <v>0</v>
      </c>
      <c r="Q478" t="n">
        <v>0</v>
      </c>
      <c r="R478" s="2" t="inlineStr"/>
    </row>
    <row r="479" ht="15" customHeight="1">
      <c r="A479" t="inlineStr">
        <is>
          <t>A 33328-2022</t>
        </is>
      </c>
      <c r="B479" s="1" t="n">
        <v>44788.45163194444</v>
      </c>
      <c r="C479" s="1" t="n">
        <v>45962</v>
      </c>
      <c r="D479" t="inlineStr">
        <is>
          <t>SKÅNE LÄN</t>
        </is>
      </c>
      <c r="E479" t="inlineStr">
        <is>
          <t>ÖRKELLJUNGA</t>
        </is>
      </c>
      <c r="G479" t="n">
        <v>3.7</v>
      </c>
      <c r="H479" t="n">
        <v>0</v>
      </c>
      <c r="I479" t="n">
        <v>0</v>
      </c>
      <c r="J479" t="n">
        <v>0</v>
      </c>
      <c r="K479" t="n">
        <v>0</v>
      </c>
      <c r="L479" t="n">
        <v>0</v>
      </c>
      <c r="M479" t="n">
        <v>0</v>
      </c>
      <c r="N479" t="n">
        <v>0</v>
      </c>
      <c r="O479" t="n">
        <v>0</v>
      </c>
      <c r="P479" t="n">
        <v>0</v>
      </c>
      <c r="Q479" t="n">
        <v>0</v>
      </c>
      <c r="R479" s="2" t="inlineStr"/>
    </row>
    <row r="480" ht="15" customHeight="1">
      <c r="A480" t="inlineStr">
        <is>
          <t>A 14402-2022</t>
        </is>
      </c>
      <c r="B480" s="1" t="n">
        <v>44652</v>
      </c>
      <c r="C480" s="1" t="n">
        <v>45962</v>
      </c>
      <c r="D480" t="inlineStr">
        <is>
          <t>SKÅNE LÄN</t>
        </is>
      </c>
      <c r="E480" t="inlineStr">
        <is>
          <t>HÄSSLEHOLM</t>
        </is>
      </c>
      <c r="G480" t="n">
        <v>0.5</v>
      </c>
      <c r="H480" t="n">
        <v>0</v>
      </c>
      <c r="I480" t="n">
        <v>0</v>
      </c>
      <c r="J480" t="n">
        <v>0</v>
      </c>
      <c r="K480" t="n">
        <v>0</v>
      </c>
      <c r="L480" t="n">
        <v>0</v>
      </c>
      <c r="M480" t="n">
        <v>0</v>
      </c>
      <c r="N480" t="n">
        <v>0</v>
      </c>
      <c r="O480" t="n">
        <v>0</v>
      </c>
      <c r="P480" t="n">
        <v>0</v>
      </c>
      <c r="Q480" t="n">
        <v>0</v>
      </c>
      <c r="R480" s="2" t="inlineStr"/>
    </row>
    <row r="481" ht="15" customHeight="1">
      <c r="A481" t="inlineStr">
        <is>
          <t>A 74408-2021</t>
        </is>
      </c>
      <c r="B481" s="1" t="n">
        <v>44560</v>
      </c>
      <c r="C481" s="1" t="n">
        <v>45962</v>
      </c>
      <c r="D481" t="inlineStr">
        <is>
          <t>SKÅNE LÄN</t>
        </is>
      </c>
      <c r="E481" t="inlineStr">
        <is>
          <t>TOMELILLA</t>
        </is>
      </c>
      <c r="G481" t="n">
        <v>0.9</v>
      </c>
      <c r="H481" t="n">
        <v>0</v>
      </c>
      <c r="I481" t="n">
        <v>0</v>
      </c>
      <c r="J481" t="n">
        <v>0</v>
      </c>
      <c r="K481" t="n">
        <v>0</v>
      </c>
      <c r="L481" t="n">
        <v>0</v>
      </c>
      <c r="M481" t="n">
        <v>0</v>
      </c>
      <c r="N481" t="n">
        <v>0</v>
      </c>
      <c r="O481" t="n">
        <v>0</v>
      </c>
      <c r="P481" t="n">
        <v>0</v>
      </c>
      <c r="Q481" t="n">
        <v>0</v>
      </c>
      <c r="R481" s="2" t="inlineStr"/>
    </row>
    <row r="482" ht="15" customHeight="1">
      <c r="A482" t="inlineStr">
        <is>
          <t>A 24496-2021</t>
        </is>
      </c>
      <c r="B482" s="1" t="n">
        <v>44337</v>
      </c>
      <c r="C482" s="1" t="n">
        <v>45962</v>
      </c>
      <c r="D482" t="inlineStr">
        <is>
          <t>SKÅNE LÄN</t>
        </is>
      </c>
      <c r="E482" t="inlineStr">
        <is>
          <t>HÄSSLEHOLM</t>
        </is>
      </c>
      <c r="G482" t="n">
        <v>0.9</v>
      </c>
      <c r="H482" t="n">
        <v>0</v>
      </c>
      <c r="I482" t="n">
        <v>0</v>
      </c>
      <c r="J482" t="n">
        <v>0</v>
      </c>
      <c r="K482" t="n">
        <v>0</v>
      </c>
      <c r="L482" t="n">
        <v>0</v>
      </c>
      <c r="M482" t="n">
        <v>0</v>
      </c>
      <c r="N482" t="n">
        <v>0</v>
      </c>
      <c r="O482" t="n">
        <v>0</v>
      </c>
      <c r="P482" t="n">
        <v>0</v>
      </c>
      <c r="Q482" t="n">
        <v>0</v>
      </c>
      <c r="R482" s="2" t="inlineStr"/>
    </row>
    <row r="483" ht="15" customHeight="1">
      <c r="A483" t="inlineStr">
        <is>
          <t>A 57451-2021</t>
        </is>
      </c>
      <c r="B483" s="1" t="n">
        <v>44483.65050925926</v>
      </c>
      <c r="C483" s="1" t="n">
        <v>45962</v>
      </c>
      <c r="D483" t="inlineStr">
        <is>
          <t>SKÅNE LÄN</t>
        </is>
      </c>
      <c r="E483" t="inlineStr">
        <is>
          <t>SVALÖV</t>
        </is>
      </c>
      <c r="G483" t="n">
        <v>0.3</v>
      </c>
      <c r="H483" t="n">
        <v>0</v>
      </c>
      <c r="I483" t="n">
        <v>0</v>
      </c>
      <c r="J483" t="n">
        <v>0</v>
      </c>
      <c r="K483" t="n">
        <v>0</v>
      </c>
      <c r="L483" t="n">
        <v>0</v>
      </c>
      <c r="M483" t="n">
        <v>0</v>
      </c>
      <c r="N483" t="n">
        <v>0</v>
      </c>
      <c r="O483" t="n">
        <v>0</v>
      </c>
      <c r="P483" t="n">
        <v>0</v>
      </c>
      <c r="Q483" t="n">
        <v>0</v>
      </c>
      <c r="R483" s="2" t="inlineStr"/>
    </row>
    <row r="484" ht="15" customHeight="1">
      <c r="A484" t="inlineStr">
        <is>
          <t>A 16920-2022</t>
        </is>
      </c>
      <c r="B484" s="1" t="n">
        <v>44676.44231481481</v>
      </c>
      <c r="C484" s="1" t="n">
        <v>45962</v>
      </c>
      <c r="D484" t="inlineStr">
        <is>
          <t>SKÅNE LÄN</t>
        </is>
      </c>
      <c r="E484" t="inlineStr">
        <is>
          <t>ÖRKELLJUNGA</t>
        </is>
      </c>
      <c r="G484" t="n">
        <v>1.2</v>
      </c>
      <c r="H484" t="n">
        <v>0</v>
      </c>
      <c r="I484" t="n">
        <v>0</v>
      </c>
      <c r="J484" t="n">
        <v>0</v>
      </c>
      <c r="K484" t="n">
        <v>0</v>
      </c>
      <c r="L484" t="n">
        <v>0</v>
      </c>
      <c r="M484" t="n">
        <v>0</v>
      </c>
      <c r="N484" t="n">
        <v>0</v>
      </c>
      <c r="O484" t="n">
        <v>0</v>
      </c>
      <c r="P484" t="n">
        <v>0</v>
      </c>
      <c r="Q484" t="n">
        <v>0</v>
      </c>
      <c r="R484" s="2" t="inlineStr"/>
    </row>
    <row r="485" ht="15" customHeight="1">
      <c r="A485" t="inlineStr">
        <is>
          <t>A 24415-2022</t>
        </is>
      </c>
      <c r="B485" s="1" t="n">
        <v>44725</v>
      </c>
      <c r="C485" s="1" t="n">
        <v>45962</v>
      </c>
      <c r="D485" t="inlineStr">
        <is>
          <t>SKÅNE LÄN</t>
        </is>
      </c>
      <c r="E485" t="inlineStr">
        <is>
          <t>KRISTIANSTAD</t>
        </is>
      </c>
      <c r="G485" t="n">
        <v>0.5</v>
      </c>
      <c r="H485" t="n">
        <v>0</v>
      </c>
      <c r="I485" t="n">
        <v>0</v>
      </c>
      <c r="J485" t="n">
        <v>0</v>
      </c>
      <c r="K485" t="n">
        <v>0</v>
      </c>
      <c r="L485" t="n">
        <v>0</v>
      </c>
      <c r="M485" t="n">
        <v>0</v>
      </c>
      <c r="N485" t="n">
        <v>0</v>
      </c>
      <c r="O485" t="n">
        <v>0</v>
      </c>
      <c r="P485" t="n">
        <v>0</v>
      </c>
      <c r="Q485" t="n">
        <v>0</v>
      </c>
      <c r="R485" s="2" t="inlineStr"/>
    </row>
    <row r="486" ht="15" customHeight="1">
      <c r="A486" t="inlineStr">
        <is>
          <t>A 7249-2022</t>
        </is>
      </c>
      <c r="B486" s="1" t="n">
        <v>44606</v>
      </c>
      <c r="C486" s="1" t="n">
        <v>45962</v>
      </c>
      <c r="D486" t="inlineStr">
        <is>
          <t>SKÅNE LÄN</t>
        </is>
      </c>
      <c r="E486" t="inlineStr">
        <is>
          <t>HÄSSLEHOLM</t>
        </is>
      </c>
      <c r="F486" t="inlineStr">
        <is>
          <t>Övriga Aktiebolag</t>
        </is>
      </c>
      <c r="G486" t="n">
        <v>0.6</v>
      </c>
      <c r="H486" t="n">
        <v>0</v>
      </c>
      <c r="I486" t="n">
        <v>0</v>
      </c>
      <c r="J486" t="n">
        <v>0</v>
      </c>
      <c r="K486" t="n">
        <v>0</v>
      </c>
      <c r="L486" t="n">
        <v>0</v>
      </c>
      <c r="M486" t="n">
        <v>0</v>
      </c>
      <c r="N486" t="n">
        <v>0</v>
      </c>
      <c r="O486" t="n">
        <v>0</v>
      </c>
      <c r="P486" t="n">
        <v>0</v>
      </c>
      <c r="Q486" t="n">
        <v>0</v>
      </c>
      <c r="R486" s="2" t="inlineStr"/>
    </row>
    <row r="487" ht="15" customHeight="1">
      <c r="A487" t="inlineStr">
        <is>
          <t>A 24233-2022</t>
        </is>
      </c>
      <c r="B487" s="1" t="n">
        <v>44725.65212962963</v>
      </c>
      <c r="C487" s="1" t="n">
        <v>45962</v>
      </c>
      <c r="D487" t="inlineStr">
        <is>
          <t>SKÅNE LÄN</t>
        </is>
      </c>
      <c r="E487" t="inlineStr">
        <is>
          <t>ÄNGELHOLM</t>
        </is>
      </c>
      <c r="G487" t="n">
        <v>1.5</v>
      </c>
      <c r="H487" t="n">
        <v>0</v>
      </c>
      <c r="I487" t="n">
        <v>0</v>
      </c>
      <c r="J487" t="n">
        <v>0</v>
      </c>
      <c r="K487" t="n">
        <v>0</v>
      </c>
      <c r="L487" t="n">
        <v>0</v>
      </c>
      <c r="M487" t="n">
        <v>0</v>
      </c>
      <c r="N487" t="n">
        <v>0</v>
      </c>
      <c r="O487" t="n">
        <v>0</v>
      </c>
      <c r="P487" t="n">
        <v>0</v>
      </c>
      <c r="Q487" t="n">
        <v>0</v>
      </c>
      <c r="R487" s="2" t="inlineStr"/>
    </row>
    <row r="488" ht="15" customHeight="1">
      <c r="A488" t="inlineStr">
        <is>
          <t>A 74507-2021</t>
        </is>
      </c>
      <c r="B488" s="1" t="n">
        <v>44560</v>
      </c>
      <c r="C488" s="1" t="n">
        <v>45962</v>
      </c>
      <c r="D488" t="inlineStr">
        <is>
          <t>SKÅNE LÄN</t>
        </is>
      </c>
      <c r="E488" t="inlineStr">
        <is>
          <t>KRISTIANSTAD</t>
        </is>
      </c>
      <c r="G488" t="n">
        <v>1.2</v>
      </c>
      <c r="H488" t="n">
        <v>0</v>
      </c>
      <c r="I488" t="n">
        <v>0</v>
      </c>
      <c r="J488" t="n">
        <v>0</v>
      </c>
      <c r="K488" t="n">
        <v>0</v>
      </c>
      <c r="L488" t="n">
        <v>0</v>
      </c>
      <c r="M488" t="n">
        <v>0</v>
      </c>
      <c r="N488" t="n">
        <v>0</v>
      </c>
      <c r="O488" t="n">
        <v>0</v>
      </c>
      <c r="P488" t="n">
        <v>0</v>
      </c>
      <c r="Q488" t="n">
        <v>0</v>
      </c>
      <c r="R488" s="2" t="inlineStr"/>
    </row>
    <row r="489" ht="15" customHeight="1">
      <c r="A489" t="inlineStr">
        <is>
          <t>A 74289-2021</t>
        </is>
      </c>
      <c r="B489" s="1" t="n">
        <v>44558</v>
      </c>
      <c r="C489" s="1" t="n">
        <v>45962</v>
      </c>
      <c r="D489" t="inlineStr">
        <is>
          <t>SKÅNE LÄN</t>
        </is>
      </c>
      <c r="E489" t="inlineStr">
        <is>
          <t>KRISTIANSTAD</t>
        </is>
      </c>
      <c r="G489" t="n">
        <v>4.2</v>
      </c>
      <c r="H489" t="n">
        <v>0</v>
      </c>
      <c r="I489" t="n">
        <v>0</v>
      </c>
      <c r="J489" t="n">
        <v>0</v>
      </c>
      <c r="K489" t="n">
        <v>0</v>
      </c>
      <c r="L489" t="n">
        <v>0</v>
      </c>
      <c r="M489" t="n">
        <v>0</v>
      </c>
      <c r="N489" t="n">
        <v>0</v>
      </c>
      <c r="O489" t="n">
        <v>0</v>
      </c>
      <c r="P489" t="n">
        <v>0</v>
      </c>
      <c r="Q489" t="n">
        <v>0</v>
      </c>
      <c r="R489" s="2" t="inlineStr"/>
    </row>
    <row r="490" ht="15" customHeight="1">
      <c r="A490" t="inlineStr">
        <is>
          <t>A 16588-2022</t>
        </is>
      </c>
      <c r="B490" s="1" t="n">
        <v>44672.47938657407</v>
      </c>
      <c r="C490" s="1" t="n">
        <v>45962</v>
      </c>
      <c r="D490" t="inlineStr">
        <is>
          <t>SKÅNE LÄN</t>
        </is>
      </c>
      <c r="E490" t="inlineStr">
        <is>
          <t>KRISTIANSTAD</t>
        </is>
      </c>
      <c r="G490" t="n">
        <v>0.8</v>
      </c>
      <c r="H490" t="n">
        <v>0</v>
      </c>
      <c r="I490" t="n">
        <v>0</v>
      </c>
      <c r="J490" t="n">
        <v>0</v>
      </c>
      <c r="K490" t="n">
        <v>0</v>
      </c>
      <c r="L490" t="n">
        <v>0</v>
      </c>
      <c r="M490" t="n">
        <v>0</v>
      </c>
      <c r="N490" t="n">
        <v>0</v>
      </c>
      <c r="O490" t="n">
        <v>0</v>
      </c>
      <c r="P490" t="n">
        <v>0</v>
      </c>
      <c r="Q490" t="n">
        <v>0</v>
      </c>
      <c r="R490" s="2" t="inlineStr"/>
    </row>
    <row r="491" ht="15" customHeight="1">
      <c r="A491" t="inlineStr">
        <is>
          <t>A 21390-2022</t>
        </is>
      </c>
      <c r="B491" s="1" t="n">
        <v>44705</v>
      </c>
      <c r="C491" s="1" t="n">
        <v>45962</v>
      </c>
      <c r="D491" t="inlineStr">
        <is>
          <t>SKÅNE LÄN</t>
        </is>
      </c>
      <c r="E491" t="inlineStr">
        <is>
          <t>KRISTIANSTAD</t>
        </is>
      </c>
      <c r="G491" t="n">
        <v>3.3</v>
      </c>
      <c r="H491" t="n">
        <v>0</v>
      </c>
      <c r="I491" t="n">
        <v>0</v>
      </c>
      <c r="J491" t="n">
        <v>0</v>
      </c>
      <c r="K491" t="n">
        <v>0</v>
      </c>
      <c r="L491" t="n">
        <v>0</v>
      </c>
      <c r="M491" t="n">
        <v>0</v>
      </c>
      <c r="N491" t="n">
        <v>0</v>
      </c>
      <c r="O491" t="n">
        <v>0</v>
      </c>
      <c r="P491" t="n">
        <v>0</v>
      </c>
      <c r="Q491" t="n">
        <v>0</v>
      </c>
      <c r="R491" s="2" t="inlineStr"/>
    </row>
    <row r="492" ht="15" customHeight="1">
      <c r="A492" t="inlineStr">
        <is>
          <t>A 74294-2021</t>
        </is>
      </c>
      <c r="B492" s="1" t="n">
        <v>44558</v>
      </c>
      <c r="C492" s="1" t="n">
        <v>45962</v>
      </c>
      <c r="D492" t="inlineStr">
        <is>
          <t>SKÅNE LÄN</t>
        </is>
      </c>
      <c r="E492" t="inlineStr">
        <is>
          <t>HÄSSLEHOLM</t>
        </is>
      </c>
      <c r="F492" t="inlineStr">
        <is>
          <t>Kyrkan</t>
        </is>
      </c>
      <c r="G492" t="n">
        <v>16.2</v>
      </c>
      <c r="H492" t="n">
        <v>0</v>
      </c>
      <c r="I492" t="n">
        <v>0</v>
      </c>
      <c r="J492" t="n">
        <v>0</v>
      </c>
      <c r="K492" t="n">
        <v>0</v>
      </c>
      <c r="L492" t="n">
        <v>0</v>
      </c>
      <c r="M492" t="n">
        <v>0</v>
      </c>
      <c r="N492" t="n">
        <v>0</v>
      </c>
      <c r="O492" t="n">
        <v>0</v>
      </c>
      <c r="P492" t="n">
        <v>0</v>
      </c>
      <c r="Q492" t="n">
        <v>0</v>
      </c>
      <c r="R492" s="2" t="inlineStr"/>
    </row>
    <row r="493" ht="15" customHeight="1">
      <c r="A493" t="inlineStr">
        <is>
          <t>A 51197-2021</t>
        </is>
      </c>
      <c r="B493" s="1" t="n">
        <v>44460</v>
      </c>
      <c r="C493" s="1" t="n">
        <v>45962</v>
      </c>
      <c r="D493" t="inlineStr">
        <is>
          <t>SKÅNE LÄN</t>
        </is>
      </c>
      <c r="E493" t="inlineStr">
        <is>
          <t>HÖÖR</t>
        </is>
      </c>
      <c r="G493" t="n">
        <v>0.6</v>
      </c>
      <c r="H493" t="n">
        <v>0</v>
      </c>
      <c r="I493" t="n">
        <v>0</v>
      </c>
      <c r="J493" t="n">
        <v>0</v>
      </c>
      <c r="K493" t="n">
        <v>0</v>
      </c>
      <c r="L493" t="n">
        <v>0</v>
      </c>
      <c r="M493" t="n">
        <v>0</v>
      </c>
      <c r="N493" t="n">
        <v>0</v>
      </c>
      <c r="O493" t="n">
        <v>0</v>
      </c>
      <c r="P493" t="n">
        <v>0</v>
      </c>
      <c r="Q493" t="n">
        <v>0</v>
      </c>
      <c r="R493" s="2" t="inlineStr"/>
    </row>
    <row r="494" ht="15" customHeight="1">
      <c r="A494" t="inlineStr">
        <is>
          <t>A 48707-2021</t>
        </is>
      </c>
      <c r="B494" s="1" t="n">
        <v>44452</v>
      </c>
      <c r="C494" s="1" t="n">
        <v>45962</v>
      </c>
      <c r="D494" t="inlineStr">
        <is>
          <t>SKÅNE LÄN</t>
        </is>
      </c>
      <c r="E494" t="inlineStr">
        <is>
          <t>KRISTIANSTAD</t>
        </is>
      </c>
      <c r="G494" t="n">
        <v>2.1</v>
      </c>
      <c r="H494" t="n">
        <v>0</v>
      </c>
      <c r="I494" t="n">
        <v>0</v>
      </c>
      <c r="J494" t="n">
        <v>0</v>
      </c>
      <c r="K494" t="n">
        <v>0</v>
      </c>
      <c r="L494" t="n">
        <v>0</v>
      </c>
      <c r="M494" t="n">
        <v>0</v>
      </c>
      <c r="N494" t="n">
        <v>0</v>
      </c>
      <c r="O494" t="n">
        <v>0</v>
      </c>
      <c r="P494" t="n">
        <v>0</v>
      </c>
      <c r="Q494" t="n">
        <v>0</v>
      </c>
      <c r="R494" s="2" t="inlineStr"/>
    </row>
    <row r="495" ht="15" customHeight="1">
      <c r="A495" t="inlineStr">
        <is>
          <t>A 51345-2021</t>
        </is>
      </c>
      <c r="B495" s="1" t="n">
        <v>44461.64192129629</v>
      </c>
      <c r="C495" s="1" t="n">
        <v>45962</v>
      </c>
      <c r="D495" t="inlineStr">
        <is>
          <t>SKÅNE LÄN</t>
        </is>
      </c>
      <c r="E495" t="inlineStr">
        <is>
          <t>OSBY</t>
        </is>
      </c>
      <c r="G495" t="n">
        <v>4.5</v>
      </c>
      <c r="H495" t="n">
        <v>0</v>
      </c>
      <c r="I495" t="n">
        <v>0</v>
      </c>
      <c r="J495" t="n">
        <v>0</v>
      </c>
      <c r="K495" t="n">
        <v>0</v>
      </c>
      <c r="L495" t="n">
        <v>0</v>
      </c>
      <c r="M495" t="n">
        <v>0</v>
      </c>
      <c r="N495" t="n">
        <v>0</v>
      </c>
      <c r="O495" t="n">
        <v>0</v>
      </c>
      <c r="P495" t="n">
        <v>0</v>
      </c>
      <c r="Q495" t="n">
        <v>0</v>
      </c>
      <c r="R495" s="2" t="inlineStr"/>
    </row>
    <row r="496" ht="15" customHeight="1">
      <c r="A496" t="inlineStr">
        <is>
          <t>A 27960-2022</t>
        </is>
      </c>
      <c r="B496" s="1" t="n">
        <v>44744</v>
      </c>
      <c r="C496" s="1" t="n">
        <v>45962</v>
      </c>
      <c r="D496" t="inlineStr">
        <is>
          <t>SKÅNE LÄN</t>
        </is>
      </c>
      <c r="E496" t="inlineStr">
        <is>
          <t>KRISTIANSTAD</t>
        </is>
      </c>
      <c r="G496" t="n">
        <v>0.5</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45962</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50094-2021</t>
        </is>
      </c>
      <c r="B498" s="1" t="n">
        <v>44456.6084375</v>
      </c>
      <c r="C498" s="1" t="n">
        <v>45962</v>
      </c>
      <c r="D498" t="inlineStr">
        <is>
          <t>SKÅNE LÄN</t>
        </is>
      </c>
      <c r="E498" t="inlineStr">
        <is>
          <t>HÄSSLEHOLM</t>
        </is>
      </c>
      <c r="G498" t="n">
        <v>1.9</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45962</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54307-2021</t>
        </is>
      </c>
      <c r="B500" s="1" t="n">
        <v>44472.47611111111</v>
      </c>
      <c r="C500" s="1" t="n">
        <v>45962</v>
      </c>
      <c r="D500" t="inlineStr">
        <is>
          <t>SKÅNE LÄN</t>
        </is>
      </c>
      <c r="E500" t="inlineStr">
        <is>
          <t>OSBY</t>
        </is>
      </c>
      <c r="G500" t="n">
        <v>2</v>
      </c>
      <c r="H500" t="n">
        <v>0</v>
      </c>
      <c r="I500" t="n">
        <v>0</v>
      </c>
      <c r="J500" t="n">
        <v>0</v>
      </c>
      <c r="K500" t="n">
        <v>0</v>
      </c>
      <c r="L500" t="n">
        <v>0</v>
      </c>
      <c r="M500" t="n">
        <v>0</v>
      </c>
      <c r="N500" t="n">
        <v>0</v>
      </c>
      <c r="O500" t="n">
        <v>0</v>
      </c>
      <c r="P500" t="n">
        <v>0</v>
      </c>
      <c r="Q500" t="n">
        <v>0</v>
      </c>
      <c r="R500" s="2" t="inlineStr"/>
    </row>
    <row r="501" ht="15" customHeight="1">
      <c r="A501" t="inlineStr">
        <is>
          <t>A 54317-2021</t>
        </is>
      </c>
      <c r="B501" s="1" t="n">
        <v>44472.64002314815</v>
      </c>
      <c r="C501" s="1" t="n">
        <v>45962</v>
      </c>
      <c r="D501" t="inlineStr">
        <is>
          <t>SKÅNE LÄN</t>
        </is>
      </c>
      <c r="E501" t="inlineStr">
        <is>
          <t>ÖSTRA GÖINGE</t>
        </is>
      </c>
      <c r="G501" t="n">
        <v>1.5</v>
      </c>
      <c r="H501" t="n">
        <v>0</v>
      </c>
      <c r="I501" t="n">
        <v>0</v>
      </c>
      <c r="J501" t="n">
        <v>0</v>
      </c>
      <c r="K501" t="n">
        <v>0</v>
      </c>
      <c r="L501" t="n">
        <v>0</v>
      </c>
      <c r="M501" t="n">
        <v>0</v>
      </c>
      <c r="N501" t="n">
        <v>0</v>
      </c>
      <c r="O501" t="n">
        <v>0</v>
      </c>
      <c r="P501" t="n">
        <v>0</v>
      </c>
      <c r="Q501" t="n">
        <v>0</v>
      </c>
      <c r="R501" s="2" t="inlineStr"/>
    </row>
    <row r="502" ht="15" customHeight="1">
      <c r="A502" t="inlineStr">
        <is>
          <t>A 19437-2022</t>
        </is>
      </c>
      <c r="B502" s="1" t="n">
        <v>44693.35873842592</v>
      </c>
      <c r="C502" s="1" t="n">
        <v>45962</v>
      </c>
      <c r="D502" t="inlineStr">
        <is>
          <t>SKÅNE LÄN</t>
        </is>
      </c>
      <c r="E502" t="inlineStr">
        <is>
          <t>OSBY</t>
        </is>
      </c>
      <c r="G502" t="n">
        <v>2.5</v>
      </c>
      <c r="H502" t="n">
        <v>0</v>
      </c>
      <c r="I502" t="n">
        <v>0</v>
      </c>
      <c r="J502" t="n">
        <v>0</v>
      </c>
      <c r="K502" t="n">
        <v>0</v>
      </c>
      <c r="L502" t="n">
        <v>0</v>
      </c>
      <c r="M502" t="n">
        <v>0</v>
      </c>
      <c r="N502" t="n">
        <v>0</v>
      </c>
      <c r="O502" t="n">
        <v>0</v>
      </c>
      <c r="P502" t="n">
        <v>0</v>
      </c>
      <c r="Q502" t="n">
        <v>0</v>
      </c>
      <c r="R502" s="2" t="inlineStr"/>
    </row>
    <row r="503" ht="15" customHeight="1">
      <c r="A503" t="inlineStr">
        <is>
          <t>A 23962-2022</t>
        </is>
      </c>
      <c r="B503" s="1" t="n">
        <v>44722.70532407407</v>
      </c>
      <c r="C503" s="1" t="n">
        <v>45962</v>
      </c>
      <c r="D503" t="inlineStr">
        <is>
          <t>SKÅNE LÄN</t>
        </is>
      </c>
      <c r="E503" t="inlineStr">
        <is>
          <t>HÄSSLEHOLM</t>
        </is>
      </c>
      <c r="F503" t="inlineStr">
        <is>
          <t>Kyrkan</t>
        </is>
      </c>
      <c r="G503" t="n">
        <v>5.8</v>
      </c>
      <c r="H503" t="n">
        <v>0</v>
      </c>
      <c r="I503" t="n">
        <v>0</v>
      </c>
      <c r="J503" t="n">
        <v>0</v>
      </c>
      <c r="K503" t="n">
        <v>0</v>
      </c>
      <c r="L503" t="n">
        <v>0</v>
      </c>
      <c r="M503" t="n">
        <v>0</v>
      </c>
      <c r="N503" t="n">
        <v>0</v>
      </c>
      <c r="O503" t="n">
        <v>0</v>
      </c>
      <c r="P503" t="n">
        <v>0</v>
      </c>
      <c r="Q503" t="n">
        <v>0</v>
      </c>
      <c r="R503" s="2" t="inlineStr"/>
    </row>
    <row r="504" ht="15" customHeight="1">
      <c r="A504" t="inlineStr">
        <is>
          <t>A 23826-2021</t>
        </is>
      </c>
      <c r="B504" s="1" t="n">
        <v>44335</v>
      </c>
      <c r="C504" s="1" t="n">
        <v>45962</v>
      </c>
      <c r="D504" t="inlineStr">
        <is>
          <t>SKÅNE LÄN</t>
        </is>
      </c>
      <c r="E504" t="inlineStr">
        <is>
          <t>HÄSSLEHOLM</t>
        </is>
      </c>
      <c r="G504" t="n">
        <v>6.5</v>
      </c>
      <c r="H504" t="n">
        <v>0</v>
      </c>
      <c r="I504" t="n">
        <v>0</v>
      </c>
      <c r="J504" t="n">
        <v>0</v>
      </c>
      <c r="K504" t="n">
        <v>0</v>
      </c>
      <c r="L504" t="n">
        <v>0</v>
      </c>
      <c r="M504" t="n">
        <v>0</v>
      </c>
      <c r="N504" t="n">
        <v>0</v>
      </c>
      <c r="O504" t="n">
        <v>0</v>
      </c>
      <c r="P504" t="n">
        <v>0</v>
      </c>
      <c r="Q504" t="n">
        <v>0</v>
      </c>
      <c r="R504" s="2" t="inlineStr"/>
    </row>
    <row r="505" ht="15" customHeight="1">
      <c r="A505" t="inlineStr">
        <is>
          <t>A 5791-2022</t>
        </is>
      </c>
      <c r="B505" s="1" t="n">
        <v>44596</v>
      </c>
      <c r="C505" s="1" t="n">
        <v>45962</v>
      </c>
      <c r="D505" t="inlineStr">
        <is>
          <t>SKÅNE LÄN</t>
        </is>
      </c>
      <c r="E505" t="inlineStr">
        <is>
          <t>KLIPPAN</t>
        </is>
      </c>
      <c r="F505" t="inlineStr">
        <is>
          <t>Övriga Aktiebolag</t>
        </is>
      </c>
      <c r="G505" t="n">
        <v>0.9</v>
      </c>
      <c r="H505" t="n">
        <v>0</v>
      </c>
      <c r="I505" t="n">
        <v>0</v>
      </c>
      <c r="J505" t="n">
        <v>0</v>
      </c>
      <c r="K505" t="n">
        <v>0</v>
      </c>
      <c r="L505" t="n">
        <v>0</v>
      </c>
      <c r="M505" t="n">
        <v>0</v>
      </c>
      <c r="N505" t="n">
        <v>0</v>
      </c>
      <c r="O505" t="n">
        <v>0</v>
      </c>
      <c r="P505" t="n">
        <v>0</v>
      </c>
      <c r="Q505" t="n">
        <v>0</v>
      </c>
      <c r="R505" s="2" t="inlineStr"/>
    </row>
    <row r="506" ht="15" customHeight="1">
      <c r="A506" t="inlineStr">
        <is>
          <t>A 56424-2021</t>
        </is>
      </c>
      <c r="B506" s="1" t="n">
        <v>44480</v>
      </c>
      <c r="C506" s="1" t="n">
        <v>45962</v>
      </c>
      <c r="D506" t="inlineStr">
        <is>
          <t>SKÅNE LÄN</t>
        </is>
      </c>
      <c r="E506" t="inlineStr">
        <is>
          <t>HÄSSLEHOLM</t>
        </is>
      </c>
      <c r="F506" t="inlineStr">
        <is>
          <t>Kyrkan</t>
        </is>
      </c>
      <c r="G506" t="n">
        <v>3.4</v>
      </c>
      <c r="H506" t="n">
        <v>0</v>
      </c>
      <c r="I506" t="n">
        <v>0</v>
      </c>
      <c r="J506" t="n">
        <v>0</v>
      </c>
      <c r="K506" t="n">
        <v>0</v>
      </c>
      <c r="L506" t="n">
        <v>0</v>
      </c>
      <c r="M506" t="n">
        <v>0</v>
      </c>
      <c r="N506" t="n">
        <v>0</v>
      </c>
      <c r="O506" t="n">
        <v>0</v>
      </c>
      <c r="P506" t="n">
        <v>0</v>
      </c>
      <c r="Q506" t="n">
        <v>0</v>
      </c>
      <c r="R506" s="2" t="inlineStr"/>
    </row>
    <row r="507" ht="15" customHeight="1">
      <c r="A507" t="inlineStr">
        <is>
          <t>A 57997-2021</t>
        </is>
      </c>
      <c r="B507" s="1" t="n">
        <v>44487</v>
      </c>
      <c r="C507" s="1" t="n">
        <v>45962</v>
      </c>
      <c r="D507" t="inlineStr">
        <is>
          <t>SKÅNE LÄN</t>
        </is>
      </c>
      <c r="E507" t="inlineStr">
        <is>
          <t>PERSTORP</t>
        </is>
      </c>
      <c r="G507" t="n">
        <v>3.1</v>
      </c>
      <c r="H507" t="n">
        <v>0</v>
      </c>
      <c r="I507" t="n">
        <v>0</v>
      </c>
      <c r="J507" t="n">
        <v>0</v>
      </c>
      <c r="K507" t="n">
        <v>0</v>
      </c>
      <c r="L507" t="n">
        <v>0</v>
      </c>
      <c r="M507" t="n">
        <v>0</v>
      </c>
      <c r="N507" t="n">
        <v>0</v>
      </c>
      <c r="O507" t="n">
        <v>0</v>
      </c>
      <c r="P507" t="n">
        <v>0</v>
      </c>
      <c r="Q507" t="n">
        <v>0</v>
      </c>
      <c r="R507" s="2" t="inlineStr"/>
    </row>
    <row r="508" ht="15" customHeight="1">
      <c r="A508" t="inlineStr">
        <is>
          <t>A 34288-2021</t>
        </is>
      </c>
      <c r="B508" s="1" t="n">
        <v>44379.59642361111</v>
      </c>
      <c r="C508" s="1" t="n">
        <v>45962</v>
      </c>
      <c r="D508" t="inlineStr">
        <is>
          <t>SKÅNE LÄN</t>
        </is>
      </c>
      <c r="E508" t="inlineStr">
        <is>
          <t>ÖSTRA GÖINGE</t>
        </is>
      </c>
      <c r="G508" t="n">
        <v>0.7</v>
      </c>
      <c r="H508" t="n">
        <v>0</v>
      </c>
      <c r="I508" t="n">
        <v>0</v>
      </c>
      <c r="J508" t="n">
        <v>0</v>
      </c>
      <c r="K508" t="n">
        <v>0</v>
      </c>
      <c r="L508" t="n">
        <v>0</v>
      </c>
      <c r="M508" t="n">
        <v>0</v>
      </c>
      <c r="N508" t="n">
        <v>0</v>
      </c>
      <c r="O508" t="n">
        <v>0</v>
      </c>
      <c r="P508" t="n">
        <v>0</v>
      </c>
      <c r="Q508" t="n">
        <v>0</v>
      </c>
      <c r="R508" s="2" t="inlineStr"/>
    </row>
    <row r="509" ht="15" customHeight="1">
      <c r="A509" t="inlineStr">
        <is>
          <t>A 50834-2021</t>
        </is>
      </c>
      <c r="B509" s="1" t="n">
        <v>44460</v>
      </c>
      <c r="C509" s="1" t="n">
        <v>45962</v>
      </c>
      <c r="D509" t="inlineStr">
        <is>
          <t>SKÅNE LÄN</t>
        </is>
      </c>
      <c r="E509" t="inlineStr">
        <is>
          <t>KRISTIANSTAD</t>
        </is>
      </c>
      <c r="G509" t="n">
        <v>2.2</v>
      </c>
      <c r="H509" t="n">
        <v>0</v>
      </c>
      <c r="I509" t="n">
        <v>0</v>
      </c>
      <c r="J509" t="n">
        <v>0</v>
      </c>
      <c r="K509" t="n">
        <v>0</v>
      </c>
      <c r="L509" t="n">
        <v>0</v>
      </c>
      <c r="M509" t="n">
        <v>0</v>
      </c>
      <c r="N509" t="n">
        <v>0</v>
      </c>
      <c r="O509" t="n">
        <v>0</v>
      </c>
      <c r="P509" t="n">
        <v>0</v>
      </c>
      <c r="Q509" t="n">
        <v>0</v>
      </c>
      <c r="R509" s="2" t="inlineStr"/>
      <c r="U509">
        <f>HYPERLINK("https://klasma.github.io/Logging_1290/knärot/A 50834-2021 karta knärot.png", "A 50834-2021")</f>
        <v/>
      </c>
      <c r="V509">
        <f>HYPERLINK("https://klasma.github.io/Logging_1290/klagomål/A 50834-2021 FSC-klagomål.docx", "A 50834-2021")</f>
        <v/>
      </c>
      <c r="W509">
        <f>HYPERLINK("https://klasma.github.io/Logging_1290/klagomålsmail/A 50834-2021 FSC-klagomål mail.docx", "A 50834-2021")</f>
        <v/>
      </c>
      <c r="X509">
        <f>HYPERLINK("https://klasma.github.io/Logging_1290/tillsyn/A 50834-2021 tillsynsbegäran.docx", "A 50834-2021")</f>
        <v/>
      </c>
      <c r="Y509">
        <f>HYPERLINK("https://klasma.github.io/Logging_1290/tillsynsmail/A 50834-2021 tillsynsbegäran mail.docx", "A 50834-2021")</f>
        <v/>
      </c>
    </row>
    <row r="510" ht="15" customHeight="1">
      <c r="A510" t="inlineStr">
        <is>
          <t>A 58566-2021</t>
        </is>
      </c>
      <c r="B510" s="1" t="n">
        <v>44488.85538194444</v>
      </c>
      <c r="C510" s="1" t="n">
        <v>45962</v>
      </c>
      <c r="D510" t="inlineStr">
        <is>
          <t>SKÅNE LÄN</t>
        </is>
      </c>
      <c r="E510" t="inlineStr">
        <is>
          <t>HÄSSLEHOLM</t>
        </is>
      </c>
      <c r="G510" t="n">
        <v>0.6</v>
      </c>
      <c r="H510" t="n">
        <v>0</v>
      </c>
      <c r="I510" t="n">
        <v>0</v>
      </c>
      <c r="J510" t="n">
        <v>0</v>
      </c>
      <c r="K510" t="n">
        <v>0</v>
      </c>
      <c r="L510" t="n">
        <v>0</v>
      </c>
      <c r="M510" t="n">
        <v>0</v>
      </c>
      <c r="N510" t="n">
        <v>0</v>
      </c>
      <c r="O510" t="n">
        <v>0</v>
      </c>
      <c r="P510" t="n">
        <v>0</v>
      </c>
      <c r="Q510" t="n">
        <v>0</v>
      </c>
      <c r="R510" s="2" t="inlineStr"/>
    </row>
    <row r="511" ht="15" customHeight="1">
      <c r="A511" t="inlineStr">
        <is>
          <t>A 58633-2021</t>
        </is>
      </c>
      <c r="B511" s="1" t="n">
        <v>44489.35295138889</v>
      </c>
      <c r="C511" s="1" t="n">
        <v>45962</v>
      </c>
      <c r="D511" t="inlineStr">
        <is>
          <t>SKÅNE LÄN</t>
        </is>
      </c>
      <c r="E511" t="inlineStr">
        <is>
          <t>KLIPPAN</t>
        </is>
      </c>
      <c r="G511" t="n">
        <v>0.3</v>
      </c>
      <c r="H511" t="n">
        <v>0</v>
      </c>
      <c r="I511" t="n">
        <v>0</v>
      </c>
      <c r="J511" t="n">
        <v>0</v>
      </c>
      <c r="K511" t="n">
        <v>0</v>
      </c>
      <c r="L511" t="n">
        <v>0</v>
      </c>
      <c r="M511" t="n">
        <v>0</v>
      </c>
      <c r="N511" t="n">
        <v>0</v>
      </c>
      <c r="O511" t="n">
        <v>0</v>
      </c>
      <c r="P511" t="n">
        <v>0</v>
      </c>
      <c r="Q511" t="n">
        <v>0</v>
      </c>
      <c r="R511" s="2" t="inlineStr"/>
    </row>
    <row r="512" ht="15" customHeight="1">
      <c r="A512" t="inlineStr">
        <is>
          <t>A 59131-2021</t>
        </is>
      </c>
      <c r="B512" s="1" t="n">
        <v>44490</v>
      </c>
      <c r="C512" s="1" t="n">
        <v>45962</v>
      </c>
      <c r="D512" t="inlineStr">
        <is>
          <t>SKÅNE LÄN</t>
        </is>
      </c>
      <c r="E512" t="inlineStr">
        <is>
          <t>TOMELILLA</t>
        </is>
      </c>
      <c r="G512" t="n">
        <v>3.2</v>
      </c>
      <c r="H512" t="n">
        <v>0</v>
      </c>
      <c r="I512" t="n">
        <v>0</v>
      </c>
      <c r="J512" t="n">
        <v>0</v>
      </c>
      <c r="K512" t="n">
        <v>0</v>
      </c>
      <c r="L512" t="n">
        <v>0</v>
      </c>
      <c r="M512" t="n">
        <v>0</v>
      </c>
      <c r="N512" t="n">
        <v>0</v>
      </c>
      <c r="O512" t="n">
        <v>0</v>
      </c>
      <c r="P512" t="n">
        <v>0</v>
      </c>
      <c r="Q512" t="n">
        <v>0</v>
      </c>
      <c r="R512" s="2" t="inlineStr"/>
    </row>
    <row r="513" ht="15" customHeight="1">
      <c r="A513" t="inlineStr">
        <is>
          <t>A 58564-2021</t>
        </is>
      </c>
      <c r="B513" s="1" t="n">
        <v>44488.84940972222</v>
      </c>
      <c r="C513" s="1" t="n">
        <v>45962</v>
      </c>
      <c r="D513" t="inlineStr">
        <is>
          <t>SKÅNE LÄN</t>
        </is>
      </c>
      <c r="E513" t="inlineStr">
        <is>
          <t>HÄSSLEHOLM</t>
        </is>
      </c>
      <c r="G513" t="n">
        <v>1.5</v>
      </c>
      <c r="H513" t="n">
        <v>0</v>
      </c>
      <c r="I513" t="n">
        <v>0</v>
      </c>
      <c r="J513" t="n">
        <v>0</v>
      </c>
      <c r="K513" t="n">
        <v>0</v>
      </c>
      <c r="L513" t="n">
        <v>0</v>
      </c>
      <c r="M513" t="n">
        <v>0</v>
      </c>
      <c r="N513" t="n">
        <v>0</v>
      </c>
      <c r="O513" t="n">
        <v>0</v>
      </c>
      <c r="P513" t="n">
        <v>0</v>
      </c>
      <c r="Q513" t="n">
        <v>0</v>
      </c>
      <c r="R513" s="2" t="inlineStr"/>
    </row>
    <row r="514" ht="15" customHeight="1">
      <c r="A514" t="inlineStr">
        <is>
          <t>A 56502-2021</t>
        </is>
      </c>
      <c r="B514" s="1" t="n">
        <v>44480</v>
      </c>
      <c r="C514" s="1" t="n">
        <v>45962</v>
      </c>
      <c r="D514" t="inlineStr">
        <is>
          <t>SKÅNE LÄN</t>
        </is>
      </c>
      <c r="E514" t="inlineStr">
        <is>
          <t>HÄSSLEHOLM</t>
        </is>
      </c>
      <c r="F514" t="inlineStr">
        <is>
          <t>Kyrkan</t>
        </is>
      </c>
      <c r="G514" t="n">
        <v>13.8</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45962</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45214-2022</t>
        </is>
      </c>
      <c r="B516" s="1" t="n">
        <v>44844.44506944445</v>
      </c>
      <c r="C516" s="1" t="n">
        <v>45962</v>
      </c>
      <c r="D516" t="inlineStr">
        <is>
          <t>SKÅNE LÄN</t>
        </is>
      </c>
      <c r="E516" t="inlineStr">
        <is>
          <t>SJÖBO</t>
        </is>
      </c>
      <c r="G516" t="n">
        <v>0</v>
      </c>
      <c r="H516" t="n">
        <v>0</v>
      </c>
      <c r="I516" t="n">
        <v>0</v>
      </c>
      <c r="J516" t="n">
        <v>0</v>
      </c>
      <c r="K516" t="n">
        <v>0</v>
      </c>
      <c r="L516" t="n">
        <v>0</v>
      </c>
      <c r="M516" t="n">
        <v>0</v>
      </c>
      <c r="N516" t="n">
        <v>0</v>
      </c>
      <c r="O516" t="n">
        <v>0</v>
      </c>
      <c r="P516" t="n">
        <v>0</v>
      </c>
      <c r="Q516" t="n">
        <v>0</v>
      </c>
      <c r="R516" s="2" t="inlineStr"/>
    </row>
    <row r="517" ht="15" customHeight="1">
      <c r="A517" t="inlineStr">
        <is>
          <t>A 45447-2022</t>
        </is>
      </c>
      <c r="B517" s="1" t="n">
        <v>44845.31287037037</v>
      </c>
      <c r="C517" s="1" t="n">
        <v>45962</v>
      </c>
      <c r="D517" t="inlineStr">
        <is>
          <t>SKÅNE LÄN</t>
        </is>
      </c>
      <c r="E517" t="inlineStr">
        <is>
          <t>OSBY</t>
        </is>
      </c>
      <c r="G517" t="n">
        <v>0.6</v>
      </c>
      <c r="H517" t="n">
        <v>0</v>
      </c>
      <c r="I517" t="n">
        <v>0</v>
      </c>
      <c r="J517" t="n">
        <v>0</v>
      </c>
      <c r="K517" t="n">
        <v>0</v>
      </c>
      <c r="L517" t="n">
        <v>0</v>
      </c>
      <c r="M517" t="n">
        <v>0</v>
      </c>
      <c r="N517" t="n">
        <v>0</v>
      </c>
      <c r="O517" t="n">
        <v>0</v>
      </c>
      <c r="P517" t="n">
        <v>0</v>
      </c>
      <c r="Q517" t="n">
        <v>0</v>
      </c>
      <c r="R517" s="2" t="inlineStr"/>
    </row>
    <row r="518" ht="15" customHeight="1">
      <c r="A518" t="inlineStr">
        <is>
          <t>A 37556-2021</t>
        </is>
      </c>
      <c r="B518" s="1" t="n">
        <v>44399.50987268519</v>
      </c>
      <c r="C518" s="1" t="n">
        <v>45962</v>
      </c>
      <c r="D518" t="inlineStr">
        <is>
          <t>SKÅNE LÄN</t>
        </is>
      </c>
      <c r="E518" t="inlineStr">
        <is>
          <t>KRISTIANSTAD</t>
        </is>
      </c>
      <c r="G518" t="n">
        <v>0.5</v>
      </c>
      <c r="H518" t="n">
        <v>0</v>
      </c>
      <c r="I518" t="n">
        <v>0</v>
      </c>
      <c r="J518" t="n">
        <v>0</v>
      </c>
      <c r="K518" t="n">
        <v>0</v>
      </c>
      <c r="L518" t="n">
        <v>0</v>
      </c>
      <c r="M518" t="n">
        <v>0</v>
      </c>
      <c r="N518" t="n">
        <v>0</v>
      </c>
      <c r="O518" t="n">
        <v>0</v>
      </c>
      <c r="P518" t="n">
        <v>0</v>
      </c>
      <c r="Q518" t="n">
        <v>0</v>
      </c>
      <c r="R518" s="2" t="inlineStr"/>
    </row>
    <row r="519" ht="15" customHeight="1">
      <c r="A519" t="inlineStr">
        <is>
          <t>A 45284-2021</t>
        </is>
      </c>
      <c r="B519" s="1" t="n">
        <v>44439.65418981481</v>
      </c>
      <c r="C519" s="1" t="n">
        <v>45962</v>
      </c>
      <c r="D519" t="inlineStr">
        <is>
          <t>SKÅNE LÄN</t>
        </is>
      </c>
      <c r="E519" t="inlineStr">
        <is>
          <t>HÄSSLEHOLM</t>
        </is>
      </c>
      <c r="G519" t="n">
        <v>1.6</v>
      </c>
      <c r="H519" t="n">
        <v>0</v>
      </c>
      <c r="I519" t="n">
        <v>0</v>
      </c>
      <c r="J519" t="n">
        <v>0</v>
      </c>
      <c r="K519" t="n">
        <v>0</v>
      </c>
      <c r="L519" t="n">
        <v>0</v>
      </c>
      <c r="M519" t="n">
        <v>0</v>
      </c>
      <c r="N519" t="n">
        <v>0</v>
      </c>
      <c r="O519" t="n">
        <v>0</v>
      </c>
      <c r="P519" t="n">
        <v>0</v>
      </c>
      <c r="Q519" t="n">
        <v>0</v>
      </c>
      <c r="R519" s="2" t="inlineStr"/>
    </row>
    <row r="520" ht="15" customHeight="1">
      <c r="A520" t="inlineStr">
        <is>
          <t>A 51508-2022</t>
        </is>
      </c>
      <c r="B520" s="1" t="n">
        <v>44869</v>
      </c>
      <c r="C520" s="1" t="n">
        <v>45962</v>
      </c>
      <c r="D520" t="inlineStr">
        <is>
          <t>SKÅNE LÄN</t>
        </is>
      </c>
      <c r="E520" t="inlineStr">
        <is>
          <t>OSBY</t>
        </is>
      </c>
      <c r="G520" t="n">
        <v>0.4</v>
      </c>
      <c r="H520" t="n">
        <v>0</v>
      </c>
      <c r="I520" t="n">
        <v>0</v>
      </c>
      <c r="J520" t="n">
        <v>0</v>
      </c>
      <c r="K520" t="n">
        <v>0</v>
      </c>
      <c r="L520" t="n">
        <v>0</v>
      </c>
      <c r="M520" t="n">
        <v>0</v>
      </c>
      <c r="N520" t="n">
        <v>0</v>
      </c>
      <c r="O520" t="n">
        <v>0</v>
      </c>
      <c r="P520" t="n">
        <v>0</v>
      </c>
      <c r="Q520" t="n">
        <v>0</v>
      </c>
      <c r="R520" s="2" t="inlineStr"/>
    </row>
    <row r="521" ht="15" customHeight="1">
      <c r="A521" t="inlineStr">
        <is>
          <t>A 51559-2021</t>
        </is>
      </c>
      <c r="B521" s="1" t="n">
        <v>44462</v>
      </c>
      <c r="C521" s="1" t="n">
        <v>45962</v>
      </c>
      <c r="D521" t="inlineStr">
        <is>
          <t>SKÅNE LÄN</t>
        </is>
      </c>
      <c r="E521" t="inlineStr">
        <is>
          <t>ÖSTRA GÖINGE</t>
        </is>
      </c>
      <c r="G521" t="n">
        <v>1.6</v>
      </c>
      <c r="H521" t="n">
        <v>0</v>
      </c>
      <c r="I521" t="n">
        <v>0</v>
      </c>
      <c r="J521" t="n">
        <v>0</v>
      </c>
      <c r="K521" t="n">
        <v>0</v>
      </c>
      <c r="L521" t="n">
        <v>0</v>
      </c>
      <c r="M521" t="n">
        <v>0</v>
      </c>
      <c r="N521" t="n">
        <v>0</v>
      </c>
      <c r="O521" t="n">
        <v>0</v>
      </c>
      <c r="P521" t="n">
        <v>0</v>
      </c>
      <c r="Q521" t="n">
        <v>0</v>
      </c>
      <c r="R521" s="2" t="inlineStr"/>
    </row>
    <row r="522" ht="15" customHeight="1">
      <c r="A522" t="inlineStr">
        <is>
          <t>A 44329-2021</t>
        </is>
      </c>
      <c r="B522" s="1" t="n">
        <v>44435</v>
      </c>
      <c r="C522" s="1" t="n">
        <v>45962</v>
      </c>
      <c r="D522" t="inlineStr">
        <is>
          <t>SKÅNE LÄN</t>
        </is>
      </c>
      <c r="E522" t="inlineStr">
        <is>
          <t>KRISTIANSTAD</t>
        </is>
      </c>
      <c r="G522" t="n">
        <v>1.3</v>
      </c>
      <c r="H522" t="n">
        <v>0</v>
      </c>
      <c r="I522" t="n">
        <v>0</v>
      </c>
      <c r="J522" t="n">
        <v>0</v>
      </c>
      <c r="K522" t="n">
        <v>0</v>
      </c>
      <c r="L522" t="n">
        <v>0</v>
      </c>
      <c r="M522" t="n">
        <v>0</v>
      </c>
      <c r="N522" t="n">
        <v>0</v>
      </c>
      <c r="O522" t="n">
        <v>0</v>
      </c>
      <c r="P522" t="n">
        <v>0</v>
      </c>
      <c r="Q522" t="n">
        <v>0</v>
      </c>
      <c r="R522" s="2" t="inlineStr"/>
    </row>
    <row r="523" ht="15" customHeight="1">
      <c r="A523" t="inlineStr">
        <is>
          <t>A 42153-2022</t>
        </is>
      </c>
      <c r="B523" s="1" t="n">
        <v>44830.60042824074</v>
      </c>
      <c r="C523" s="1" t="n">
        <v>45962</v>
      </c>
      <c r="D523" t="inlineStr">
        <is>
          <t>SKÅNE LÄN</t>
        </is>
      </c>
      <c r="E523" t="inlineStr">
        <is>
          <t>OSBY</t>
        </is>
      </c>
      <c r="G523" t="n">
        <v>4.9</v>
      </c>
      <c r="H523" t="n">
        <v>0</v>
      </c>
      <c r="I523" t="n">
        <v>0</v>
      </c>
      <c r="J523" t="n">
        <v>0</v>
      </c>
      <c r="K523" t="n">
        <v>0</v>
      </c>
      <c r="L523" t="n">
        <v>0</v>
      </c>
      <c r="M523" t="n">
        <v>0</v>
      </c>
      <c r="N523" t="n">
        <v>0</v>
      </c>
      <c r="O523" t="n">
        <v>0</v>
      </c>
      <c r="P523" t="n">
        <v>0</v>
      </c>
      <c r="Q523" t="n">
        <v>0</v>
      </c>
      <c r="R523" s="2" t="inlineStr"/>
    </row>
    <row r="524" ht="15" customHeight="1">
      <c r="A524" t="inlineStr">
        <is>
          <t>A 8204-2022</t>
        </is>
      </c>
      <c r="B524" s="1" t="n">
        <v>44609.73251157408</v>
      </c>
      <c r="C524" s="1" t="n">
        <v>45962</v>
      </c>
      <c r="D524" t="inlineStr">
        <is>
          <t>SKÅNE LÄN</t>
        </is>
      </c>
      <c r="E524" t="inlineStr">
        <is>
          <t>HÄSSLEHOLM</t>
        </is>
      </c>
      <c r="G524" t="n">
        <v>0.9</v>
      </c>
      <c r="H524" t="n">
        <v>0</v>
      </c>
      <c r="I524" t="n">
        <v>0</v>
      </c>
      <c r="J524" t="n">
        <v>0</v>
      </c>
      <c r="K524" t="n">
        <v>0</v>
      </c>
      <c r="L524" t="n">
        <v>0</v>
      </c>
      <c r="M524" t="n">
        <v>0</v>
      </c>
      <c r="N524" t="n">
        <v>0</v>
      </c>
      <c r="O524" t="n">
        <v>0</v>
      </c>
      <c r="P524" t="n">
        <v>0</v>
      </c>
      <c r="Q524" t="n">
        <v>0</v>
      </c>
      <c r="R524" s="2" t="inlineStr"/>
    </row>
    <row r="525" ht="15" customHeight="1">
      <c r="A525" t="inlineStr">
        <is>
          <t>A 8206-2022</t>
        </is>
      </c>
      <c r="B525" s="1" t="n">
        <v>44609</v>
      </c>
      <c r="C525" s="1" t="n">
        <v>45962</v>
      </c>
      <c r="D525" t="inlineStr">
        <is>
          <t>SKÅNE LÄN</t>
        </is>
      </c>
      <c r="E525" t="inlineStr">
        <is>
          <t>KRISTIANSTAD</t>
        </is>
      </c>
      <c r="F525" t="inlineStr">
        <is>
          <t>Kyrkan</t>
        </is>
      </c>
      <c r="G525" t="n">
        <v>2.5</v>
      </c>
      <c r="H525" t="n">
        <v>0</v>
      </c>
      <c r="I525" t="n">
        <v>0</v>
      </c>
      <c r="J525" t="n">
        <v>0</v>
      </c>
      <c r="K525" t="n">
        <v>0</v>
      </c>
      <c r="L525" t="n">
        <v>0</v>
      </c>
      <c r="M525" t="n">
        <v>0</v>
      </c>
      <c r="N525" t="n">
        <v>0</v>
      </c>
      <c r="O525" t="n">
        <v>0</v>
      </c>
      <c r="P525" t="n">
        <v>0</v>
      </c>
      <c r="Q525" t="n">
        <v>0</v>
      </c>
      <c r="R525" s="2" t="inlineStr"/>
    </row>
    <row r="526" ht="15" customHeight="1">
      <c r="A526" t="inlineStr">
        <is>
          <t>A 6964-2022</t>
        </is>
      </c>
      <c r="B526" s="1" t="n">
        <v>44603.3659837963</v>
      </c>
      <c r="C526" s="1" t="n">
        <v>45962</v>
      </c>
      <c r="D526" t="inlineStr">
        <is>
          <t>SKÅNE LÄN</t>
        </is>
      </c>
      <c r="E526" t="inlineStr">
        <is>
          <t>OSBY</t>
        </is>
      </c>
      <c r="G526" t="n">
        <v>1.5</v>
      </c>
      <c r="H526" t="n">
        <v>0</v>
      </c>
      <c r="I526" t="n">
        <v>0</v>
      </c>
      <c r="J526" t="n">
        <v>0</v>
      </c>
      <c r="K526" t="n">
        <v>0</v>
      </c>
      <c r="L526" t="n">
        <v>0</v>
      </c>
      <c r="M526" t="n">
        <v>0</v>
      </c>
      <c r="N526" t="n">
        <v>0</v>
      </c>
      <c r="O526" t="n">
        <v>0</v>
      </c>
      <c r="P526" t="n">
        <v>0</v>
      </c>
      <c r="Q526" t="n">
        <v>0</v>
      </c>
      <c r="R526" s="2" t="inlineStr"/>
    </row>
    <row r="527" ht="15" customHeight="1">
      <c r="A527" t="inlineStr">
        <is>
          <t>A 50-2021</t>
        </is>
      </c>
      <c r="B527" s="1" t="n">
        <v>44199</v>
      </c>
      <c r="C527" s="1" t="n">
        <v>45962</v>
      </c>
      <c r="D527" t="inlineStr">
        <is>
          <t>SKÅNE LÄN</t>
        </is>
      </c>
      <c r="E527" t="inlineStr">
        <is>
          <t>KRISTIANSTAD</t>
        </is>
      </c>
      <c r="G527" t="n">
        <v>0.6</v>
      </c>
      <c r="H527" t="n">
        <v>0</v>
      </c>
      <c r="I527" t="n">
        <v>0</v>
      </c>
      <c r="J527" t="n">
        <v>0</v>
      </c>
      <c r="K527" t="n">
        <v>0</v>
      </c>
      <c r="L527" t="n">
        <v>0</v>
      </c>
      <c r="M527" t="n">
        <v>0</v>
      </c>
      <c r="N527" t="n">
        <v>0</v>
      </c>
      <c r="O527" t="n">
        <v>0</v>
      </c>
      <c r="P527" t="n">
        <v>0</v>
      </c>
      <c r="Q527" t="n">
        <v>0</v>
      </c>
      <c r="R527" s="2" t="inlineStr"/>
    </row>
    <row r="528" ht="15" customHeight="1">
      <c r="A528" t="inlineStr">
        <is>
          <t>A 3075-2021</t>
        </is>
      </c>
      <c r="B528" s="1" t="n">
        <v>44216</v>
      </c>
      <c r="C528" s="1" t="n">
        <v>45962</v>
      </c>
      <c r="D528" t="inlineStr">
        <is>
          <t>SKÅNE LÄN</t>
        </is>
      </c>
      <c r="E528" t="inlineStr">
        <is>
          <t>OSBY</t>
        </is>
      </c>
      <c r="G528" t="n">
        <v>3.1</v>
      </c>
      <c r="H528" t="n">
        <v>0</v>
      </c>
      <c r="I528" t="n">
        <v>0</v>
      </c>
      <c r="J528" t="n">
        <v>0</v>
      </c>
      <c r="K528" t="n">
        <v>0</v>
      </c>
      <c r="L528" t="n">
        <v>0</v>
      </c>
      <c r="M528" t="n">
        <v>0</v>
      </c>
      <c r="N528" t="n">
        <v>0</v>
      </c>
      <c r="O528" t="n">
        <v>0</v>
      </c>
      <c r="P528" t="n">
        <v>0</v>
      </c>
      <c r="Q528" t="n">
        <v>0</v>
      </c>
      <c r="R528" s="2" t="inlineStr"/>
    </row>
    <row r="529" ht="15" customHeight="1">
      <c r="A529" t="inlineStr">
        <is>
          <t>A 15288-2021</t>
        </is>
      </c>
      <c r="B529" s="1" t="n">
        <v>44284</v>
      </c>
      <c r="C529" s="1" t="n">
        <v>45962</v>
      </c>
      <c r="D529" t="inlineStr">
        <is>
          <t>SKÅNE LÄN</t>
        </is>
      </c>
      <c r="E529" t="inlineStr">
        <is>
          <t>TOMELILLA</t>
        </is>
      </c>
      <c r="G529" t="n">
        <v>1.4</v>
      </c>
      <c r="H529" t="n">
        <v>0</v>
      </c>
      <c r="I529" t="n">
        <v>0</v>
      </c>
      <c r="J529" t="n">
        <v>0</v>
      </c>
      <c r="K529" t="n">
        <v>0</v>
      </c>
      <c r="L529" t="n">
        <v>0</v>
      </c>
      <c r="M529" t="n">
        <v>0</v>
      </c>
      <c r="N529" t="n">
        <v>0</v>
      </c>
      <c r="O529" t="n">
        <v>0</v>
      </c>
      <c r="P529" t="n">
        <v>0</v>
      </c>
      <c r="Q529" t="n">
        <v>0</v>
      </c>
      <c r="R529" s="2" t="inlineStr"/>
    </row>
    <row r="530" ht="15" customHeight="1">
      <c r="A530" t="inlineStr">
        <is>
          <t>A 68845-2020</t>
        </is>
      </c>
      <c r="B530" s="1" t="n">
        <v>44186</v>
      </c>
      <c r="C530" s="1" t="n">
        <v>45962</v>
      </c>
      <c r="D530" t="inlineStr">
        <is>
          <t>SKÅNE LÄN</t>
        </is>
      </c>
      <c r="E530" t="inlineStr">
        <is>
          <t>KRISTIANSTAD</t>
        </is>
      </c>
      <c r="G530" t="n">
        <v>4</v>
      </c>
      <c r="H530" t="n">
        <v>0</v>
      </c>
      <c r="I530" t="n">
        <v>0</v>
      </c>
      <c r="J530" t="n">
        <v>0</v>
      </c>
      <c r="K530" t="n">
        <v>0</v>
      </c>
      <c r="L530" t="n">
        <v>0</v>
      </c>
      <c r="M530" t="n">
        <v>0</v>
      </c>
      <c r="N530" t="n">
        <v>0</v>
      </c>
      <c r="O530" t="n">
        <v>0</v>
      </c>
      <c r="P530" t="n">
        <v>0</v>
      </c>
      <c r="Q530" t="n">
        <v>0</v>
      </c>
      <c r="R530" s="2" t="inlineStr"/>
    </row>
    <row r="531" ht="15" customHeight="1">
      <c r="A531" t="inlineStr">
        <is>
          <t>A 15509-2021</t>
        </is>
      </c>
      <c r="B531" s="1" t="n">
        <v>44285.51721064815</v>
      </c>
      <c r="C531" s="1" t="n">
        <v>45962</v>
      </c>
      <c r="D531" t="inlineStr">
        <is>
          <t>SKÅNE LÄN</t>
        </is>
      </c>
      <c r="E531" t="inlineStr">
        <is>
          <t>OSBY</t>
        </is>
      </c>
      <c r="G531" t="n">
        <v>2</v>
      </c>
      <c r="H531" t="n">
        <v>0</v>
      </c>
      <c r="I531" t="n">
        <v>0</v>
      </c>
      <c r="J531" t="n">
        <v>0</v>
      </c>
      <c r="K531" t="n">
        <v>0</v>
      </c>
      <c r="L531" t="n">
        <v>0</v>
      </c>
      <c r="M531" t="n">
        <v>0</v>
      </c>
      <c r="N531" t="n">
        <v>0</v>
      </c>
      <c r="O531" t="n">
        <v>0</v>
      </c>
      <c r="P531" t="n">
        <v>0</v>
      </c>
      <c r="Q531" t="n">
        <v>0</v>
      </c>
      <c r="R531" s="2" t="inlineStr"/>
    </row>
    <row r="532" ht="15" customHeight="1">
      <c r="A532" t="inlineStr">
        <is>
          <t>A 11506-2021</t>
        </is>
      </c>
      <c r="B532" s="1" t="n">
        <v>44264</v>
      </c>
      <c r="C532" s="1" t="n">
        <v>45962</v>
      </c>
      <c r="D532" t="inlineStr">
        <is>
          <t>SKÅNE LÄN</t>
        </is>
      </c>
      <c r="E532" t="inlineStr">
        <is>
          <t>HÖÖR</t>
        </is>
      </c>
      <c r="G532" t="n">
        <v>2.1</v>
      </c>
      <c r="H532" t="n">
        <v>0</v>
      </c>
      <c r="I532" t="n">
        <v>0</v>
      </c>
      <c r="J532" t="n">
        <v>0</v>
      </c>
      <c r="K532" t="n">
        <v>0</v>
      </c>
      <c r="L532" t="n">
        <v>0</v>
      </c>
      <c r="M532" t="n">
        <v>0</v>
      </c>
      <c r="N532" t="n">
        <v>0</v>
      </c>
      <c r="O532" t="n">
        <v>0</v>
      </c>
      <c r="P532" t="n">
        <v>0</v>
      </c>
      <c r="Q532" t="n">
        <v>0</v>
      </c>
      <c r="R532" s="2" t="inlineStr"/>
    </row>
    <row r="533" ht="15" customHeight="1">
      <c r="A533" t="inlineStr">
        <is>
          <t>A 25239-2021</t>
        </is>
      </c>
      <c r="B533" s="1" t="n">
        <v>44342.41119212963</v>
      </c>
      <c r="C533" s="1" t="n">
        <v>45962</v>
      </c>
      <c r="D533" t="inlineStr">
        <is>
          <t>SKÅNE LÄN</t>
        </is>
      </c>
      <c r="E533" t="inlineStr">
        <is>
          <t>ÖSTRA GÖINGE</t>
        </is>
      </c>
      <c r="G533" t="n">
        <v>1.2</v>
      </c>
      <c r="H533" t="n">
        <v>0</v>
      </c>
      <c r="I533" t="n">
        <v>0</v>
      </c>
      <c r="J533" t="n">
        <v>0</v>
      </c>
      <c r="K533" t="n">
        <v>0</v>
      </c>
      <c r="L533" t="n">
        <v>0</v>
      </c>
      <c r="M533" t="n">
        <v>0</v>
      </c>
      <c r="N533" t="n">
        <v>0</v>
      </c>
      <c r="O533" t="n">
        <v>0</v>
      </c>
      <c r="P533" t="n">
        <v>0</v>
      </c>
      <c r="Q533" t="n">
        <v>0</v>
      </c>
      <c r="R533" s="2" t="inlineStr"/>
    </row>
    <row r="534" ht="15" customHeight="1">
      <c r="A534" t="inlineStr">
        <is>
          <t>A 11054-2022</t>
        </is>
      </c>
      <c r="B534" s="1" t="n">
        <v>44628</v>
      </c>
      <c r="C534" s="1" t="n">
        <v>45962</v>
      </c>
      <c r="D534" t="inlineStr">
        <is>
          <t>SKÅNE LÄN</t>
        </is>
      </c>
      <c r="E534" t="inlineStr">
        <is>
          <t>KRISTIANSTAD</t>
        </is>
      </c>
      <c r="G534" t="n">
        <v>14.5</v>
      </c>
      <c r="H534" t="n">
        <v>0</v>
      </c>
      <c r="I534" t="n">
        <v>0</v>
      </c>
      <c r="J534" t="n">
        <v>0</v>
      </c>
      <c r="K534" t="n">
        <v>0</v>
      </c>
      <c r="L534" t="n">
        <v>0</v>
      </c>
      <c r="M534" t="n">
        <v>0</v>
      </c>
      <c r="N534" t="n">
        <v>0</v>
      </c>
      <c r="O534" t="n">
        <v>0</v>
      </c>
      <c r="P534" t="n">
        <v>0</v>
      </c>
      <c r="Q534" t="n">
        <v>0</v>
      </c>
      <c r="R534" s="2" t="inlineStr"/>
    </row>
    <row r="535" ht="15" customHeight="1">
      <c r="A535" t="inlineStr">
        <is>
          <t>A 19097-2022</t>
        </is>
      </c>
      <c r="B535" s="1" t="n">
        <v>44691.52568287037</v>
      </c>
      <c r="C535" s="1" t="n">
        <v>45962</v>
      </c>
      <c r="D535" t="inlineStr">
        <is>
          <t>SKÅNE LÄN</t>
        </is>
      </c>
      <c r="E535" t="inlineStr">
        <is>
          <t>KLIPPAN</t>
        </is>
      </c>
      <c r="G535" t="n">
        <v>0.6</v>
      </c>
      <c r="H535" t="n">
        <v>0</v>
      </c>
      <c r="I535" t="n">
        <v>0</v>
      </c>
      <c r="J535" t="n">
        <v>0</v>
      </c>
      <c r="K535" t="n">
        <v>0</v>
      </c>
      <c r="L535" t="n">
        <v>0</v>
      </c>
      <c r="M535" t="n">
        <v>0</v>
      </c>
      <c r="N535" t="n">
        <v>0</v>
      </c>
      <c r="O535" t="n">
        <v>0</v>
      </c>
      <c r="P535" t="n">
        <v>0</v>
      </c>
      <c r="Q535" t="n">
        <v>0</v>
      </c>
      <c r="R535" s="2" t="inlineStr"/>
    </row>
    <row r="536" ht="15" customHeight="1">
      <c r="A536" t="inlineStr">
        <is>
          <t>A 67222-2021</t>
        </is>
      </c>
      <c r="B536" s="1" t="n">
        <v>44523.51407407408</v>
      </c>
      <c r="C536" s="1" t="n">
        <v>45962</v>
      </c>
      <c r="D536" t="inlineStr">
        <is>
          <t>SKÅNE LÄN</t>
        </is>
      </c>
      <c r="E536" t="inlineStr">
        <is>
          <t>OSBY</t>
        </is>
      </c>
      <c r="G536" t="n">
        <v>2.4</v>
      </c>
      <c r="H536" t="n">
        <v>0</v>
      </c>
      <c r="I536" t="n">
        <v>0</v>
      </c>
      <c r="J536" t="n">
        <v>0</v>
      </c>
      <c r="K536" t="n">
        <v>0</v>
      </c>
      <c r="L536" t="n">
        <v>0</v>
      </c>
      <c r="M536" t="n">
        <v>0</v>
      </c>
      <c r="N536" t="n">
        <v>0</v>
      </c>
      <c r="O536" t="n">
        <v>0</v>
      </c>
      <c r="P536" t="n">
        <v>0</v>
      </c>
      <c r="Q536" t="n">
        <v>0</v>
      </c>
      <c r="R536" s="2" t="inlineStr"/>
    </row>
    <row r="537" ht="15" customHeight="1">
      <c r="A537" t="inlineStr">
        <is>
          <t>A 3442-2022</t>
        </is>
      </c>
      <c r="B537" s="1" t="n">
        <v>44585.56385416666</v>
      </c>
      <c r="C537" s="1" t="n">
        <v>45962</v>
      </c>
      <c r="D537" t="inlineStr">
        <is>
          <t>SKÅNE LÄN</t>
        </is>
      </c>
      <c r="E537" t="inlineStr">
        <is>
          <t>ÖSTRA GÖINGE</t>
        </is>
      </c>
      <c r="G537" t="n">
        <v>0.8</v>
      </c>
      <c r="H537" t="n">
        <v>0</v>
      </c>
      <c r="I537" t="n">
        <v>0</v>
      </c>
      <c r="J537" t="n">
        <v>0</v>
      </c>
      <c r="K537" t="n">
        <v>0</v>
      </c>
      <c r="L537" t="n">
        <v>0</v>
      </c>
      <c r="M537" t="n">
        <v>0</v>
      </c>
      <c r="N537" t="n">
        <v>0</v>
      </c>
      <c r="O537" t="n">
        <v>0</v>
      </c>
      <c r="P537" t="n">
        <v>0</v>
      </c>
      <c r="Q537" t="n">
        <v>0</v>
      </c>
      <c r="R537" s="2" t="inlineStr"/>
    </row>
    <row r="538" ht="15" customHeight="1">
      <c r="A538" t="inlineStr">
        <is>
          <t>A 67630-2020</t>
        </is>
      </c>
      <c r="B538" s="1" t="n">
        <v>44182</v>
      </c>
      <c r="C538" s="1" t="n">
        <v>45962</v>
      </c>
      <c r="D538" t="inlineStr">
        <is>
          <t>SKÅNE LÄN</t>
        </is>
      </c>
      <c r="E538" t="inlineStr">
        <is>
          <t>PERSTORP</t>
        </is>
      </c>
      <c r="G538" t="n">
        <v>1.4</v>
      </c>
      <c r="H538" t="n">
        <v>0</v>
      </c>
      <c r="I538" t="n">
        <v>0</v>
      </c>
      <c r="J538" t="n">
        <v>0</v>
      </c>
      <c r="K538" t="n">
        <v>0</v>
      </c>
      <c r="L538" t="n">
        <v>0</v>
      </c>
      <c r="M538" t="n">
        <v>0</v>
      </c>
      <c r="N538" t="n">
        <v>0</v>
      </c>
      <c r="O538" t="n">
        <v>0</v>
      </c>
      <c r="P538" t="n">
        <v>0</v>
      </c>
      <c r="Q538" t="n">
        <v>0</v>
      </c>
      <c r="R538" s="2" t="inlineStr"/>
    </row>
    <row r="539" ht="15" customHeight="1">
      <c r="A539" t="inlineStr">
        <is>
          <t>A 46254-2022</t>
        </is>
      </c>
      <c r="B539" s="1" t="n">
        <v>44847.63377314815</v>
      </c>
      <c r="C539" s="1" t="n">
        <v>45962</v>
      </c>
      <c r="D539" t="inlineStr">
        <is>
          <t>SKÅNE LÄN</t>
        </is>
      </c>
      <c r="E539" t="inlineStr">
        <is>
          <t>SVALÖV</t>
        </is>
      </c>
      <c r="G539" t="n">
        <v>0.5</v>
      </c>
      <c r="H539" t="n">
        <v>0</v>
      </c>
      <c r="I539" t="n">
        <v>0</v>
      </c>
      <c r="J539" t="n">
        <v>0</v>
      </c>
      <c r="K539" t="n">
        <v>0</v>
      </c>
      <c r="L539" t="n">
        <v>0</v>
      </c>
      <c r="M539" t="n">
        <v>0</v>
      </c>
      <c r="N539" t="n">
        <v>0</v>
      </c>
      <c r="O539" t="n">
        <v>0</v>
      </c>
      <c r="P539" t="n">
        <v>0</v>
      </c>
      <c r="Q539" t="n">
        <v>0</v>
      </c>
      <c r="R539" s="2" t="inlineStr"/>
    </row>
    <row r="540" ht="15" customHeight="1">
      <c r="A540" t="inlineStr">
        <is>
          <t>A 41560-2022</t>
        </is>
      </c>
      <c r="B540" s="1" t="n">
        <v>44827.40586805555</v>
      </c>
      <c r="C540" s="1" t="n">
        <v>45962</v>
      </c>
      <c r="D540" t="inlineStr">
        <is>
          <t>SKÅNE LÄN</t>
        </is>
      </c>
      <c r="E540" t="inlineStr">
        <is>
          <t>OSBY</t>
        </is>
      </c>
      <c r="G540" t="n">
        <v>3.2</v>
      </c>
      <c r="H540" t="n">
        <v>0</v>
      </c>
      <c r="I540" t="n">
        <v>0</v>
      </c>
      <c r="J540" t="n">
        <v>0</v>
      </c>
      <c r="K540" t="n">
        <v>0</v>
      </c>
      <c r="L540" t="n">
        <v>0</v>
      </c>
      <c r="M540" t="n">
        <v>0</v>
      </c>
      <c r="N540" t="n">
        <v>0</v>
      </c>
      <c r="O540" t="n">
        <v>0</v>
      </c>
      <c r="P540" t="n">
        <v>0</v>
      </c>
      <c r="Q540" t="n">
        <v>0</v>
      </c>
      <c r="R540" s="2" t="inlineStr"/>
    </row>
    <row r="541" ht="15" customHeight="1">
      <c r="A541" t="inlineStr">
        <is>
          <t>A 48553-2021</t>
        </is>
      </c>
      <c r="B541" s="1" t="n">
        <v>44452.45701388889</v>
      </c>
      <c r="C541" s="1" t="n">
        <v>45962</v>
      </c>
      <c r="D541" t="inlineStr">
        <is>
          <t>SKÅNE LÄN</t>
        </is>
      </c>
      <c r="E541" t="inlineStr">
        <is>
          <t>HÄSSLEHOLM</t>
        </is>
      </c>
      <c r="G541" t="n">
        <v>1.1</v>
      </c>
      <c r="H541" t="n">
        <v>0</v>
      </c>
      <c r="I541" t="n">
        <v>0</v>
      </c>
      <c r="J541" t="n">
        <v>0</v>
      </c>
      <c r="K541" t="n">
        <v>0</v>
      </c>
      <c r="L541" t="n">
        <v>0</v>
      </c>
      <c r="M541" t="n">
        <v>0</v>
      </c>
      <c r="N541" t="n">
        <v>0</v>
      </c>
      <c r="O541" t="n">
        <v>0</v>
      </c>
      <c r="P541" t="n">
        <v>0</v>
      </c>
      <c r="Q541" t="n">
        <v>0</v>
      </c>
      <c r="R541" s="2" t="inlineStr"/>
    </row>
    <row r="542" ht="15" customHeight="1">
      <c r="A542" t="inlineStr">
        <is>
          <t>A 1218-2022</t>
        </is>
      </c>
      <c r="B542" s="1" t="n">
        <v>44572</v>
      </c>
      <c r="C542" s="1" t="n">
        <v>45962</v>
      </c>
      <c r="D542" t="inlineStr">
        <is>
          <t>SKÅNE LÄN</t>
        </is>
      </c>
      <c r="E542" t="inlineStr">
        <is>
          <t>KRISTIANSTAD</t>
        </is>
      </c>
      <c r="G542" t="n">
        <v>0.9</v>
      </c>
      <c r="H542" t="n">
        <v>0</v>
      </c>
      <c r="I542" t="n">
        <v>0</v>
      </c>
      <c r="J542" t="n">
        <v>0</v>
      </c>
      <c r="K542" t="n">
        <v>0</v>
      </c>
      <c r="L542" t="n">
        <v>0</v>
      </c>
      <c r="M542" t="n">
        <v>0</v>
      </c>
      <c r="N542" t="n">
        <v>0</v>
      </c>
      <c r="O542" t="n">
        <v>0</v>
      </c>
      <c r="P542" t="n">
        <v>0</v>
      </c>
      <c r="Q542" t="n">
        <v>0</v>
      </c>
      <c r="R542" s="2" t="inlineStr"/>
    </row>
    <row r="543" ht="15" customHeight="1">
      <c r="A543" t="inlineStr">
        <is>
          <t>A 74137-2021</t>
        </is>
      </c>
      <c r="B543" s="1" t="n">
        <v>44557.93648148148</v>
      </c>
      <c r="C543" s="1" t="n">
        <v>45962</v>
      </c>
      <c r="D543" t="inlineStr">
        <is>
          <t>SKÅNE LÄN</t>
        </is>
      </c>
      <c r="E543" t="inlineStr">
        <is>
          <t>ÖSTRA GÖINGE</t>
        </is>
      </c>
      <c r="G543" t="n">
        <v>0.4</v>
      </c>
      <c r="H543" t="n">
        <v>0</v>
      </c>
      <c r="I543" t="n">
        <v>0</v>
      </c>
      <c r="J543" t="n">
        <v>0</v>
      </c>
      <c r="K543" t="n">
        <v>0</v>
      </c>
      <c r="L543" t="n">
        <v>0</v>
      </c>
      <c r="M543" t="n">
        <v>0</v>
      </c>
      <c r="N543" t="n">
        <v>0</v>
      </c>
      <c r="O543" t="n">
        <v>0</v>
      </c>
      <c r="P543" t="n">
        <v>0</v>
      </c>
      <c r="Q543" t="n">
        <v>0</v>
      </c>
      <c r="R543" s="2" t="inlineStr"/>
    </row>
    <row r="544" ht="15" customHeight="1">
      <c r="A544" t="inlineStr">
        <is>
          <t>A 4053-2022</t>
        </is>
      </c>
      <c r="B544" s="1" t="n">
        <v>44588</v>
      </c>
      <c r="C544" s="1" t="n">
        <v>45962</v>
      </c>
      <c r="D544" t="inlineStr">
        <is>
          <t>SKÅNE LÄN</t>
        </is>
      </c>
      <c r="E544" t="inlineStr">
        <is>
          <t>ÖSTRA GÖINGE</t>
        </is>
      </c>
      <c r="G544" t="n">
        <v>0.2</v>
      </c>
      <c r="H544" t="n">
        <v>0</v>
      </c>
      <c r="I544" t="n">
        <v>0</v>
      </c>
      <c r="J544" t="n">
        <v>0</v>
      </c>
      <c r="K544" t="n">
        <v>0</v>
      </c>
      <c r="L544" t="n">
        <v>0</v>
      </c>
      <c r="M544" t="n">
        <v>0</v>
      </c>
      <c r="N544" t="n">
        <v>0</v>
      </c>
      <c r="O544" t="n">
        <v>0</v>
      </c>
      <c r="P544" t="n">
        <v>0</v>
      </c>
      <c r="Q544" t="n">
        <v>0</v>
      </c>
      <c r="R544" s="2" t="inlineStr"/>
    </row>
    <row r="545" ht="15" customHeight="1">
      <c r="A545" t="inlineStr">
        <is>
          <t>A 64627-2021</t>
        </is>
      </c>
      <c r="B545" s="1" t="n">
        <v>44511.89311342593</v>
      </c>
      <c r="C545" s="1" t="n">
        <v>45962</v>
      </c>
      <c r="D545" t="inlineStr">
        <is>
          <t>SKÅNE LÄN</t>
        </is>
      </c>
      <c r="E545" t="inlineStr">
        <is>
          <t>PERSTORP</t>
        </is>
      </c>
      <c r="G545" t="n">
        <v>1.3</v>
      </c>
      <c r="H545" t="n">
        <v>0</v>
      </c>
      <c r="I545" t="n">
        <v>0</v>
      </c>
      <c r="J545" t="n">
        <v>0</v>
      </c>
      <c r="K545" t="n">
        <v>0</v>
      </c>
      <c r="L545" t="n">
        <v>0</v>
      </c>
      <c r="M545" t="n">
        <v>0</v>
      </c>
      <c r="N545" t="n">
        <v>0</v>
      </c>
      <c r="O545" t="n">
        <v>0</v>
      </c>
      <c r="P545" t="n">
        <v>0</v>
      </c>
      <c r="Q545" t="n">
        <v>0</v>
      </c>
      <c r="R545" s="2" t="inlineStr"/>
    </row>
    <row r="546" ht="15" customHeight="1">
      <c r="A546" t="inlineStr">
        <is>
          <t>A 66987-2021</t>
        </is>
      </c>
      <c r="B546" s="1" t="n">
        <v>44522.61667824074</v>
      </c>
      <c r="C546" s="1" t="n">
        <v>45962</v>
      </c>
      <c r="D546" t="inlineStr">
        <is>
          <t>SKÅNE LÄN</t>
        </is>
      </c>
      <c r="E546" t="inlineStr">
        <is>
          <t>OSBY</t>
        </is>
      </c>
      <c r="G546" t="n">
        <v>0.6</v>
      </c>
      <c r="H546" t="n">
        <v>0</v>
      </c>
      <c r="I546" t="n">
        <v>0</v>
      </c>
      <c r="J546" t="n">
        <v>0</v>
      </c>
      <c r="K546" t="n">
        <v>0</v>
      </c>
      <c r="L546" t="n">
        <v>0</v>
      </c>
      <c r="M546" t="n">
        <v>0</v>
      </c>
      <c r="N546" t="n">
        <v>0</v>
      </c>
      <c r="O546" t="n">
        <v>0</v>
      </c>
      <c r="P546" t="n">
        <v>0</v>
      </c>
      <c r="Q546" t="n">
        <v>0</v>
      </c>
      <c r="R546" s="2" t="inlineStr"/>
    </row>
    <row r="547" ht="15" customHeight="1">
      <c r="A547" t="inlineStr">
        <is>
          <t>A 8700-2022</t>
        </is>
      </c>
      <c r="B547" s="1" t="n">
        <v>44613</v>
      </c>
      <c r="C547" s="1" t="n">
        <v>45962</v>
      </c>
      <c r="D547" t="inlineStr">
        <is>
          <t>SKÅNE LÄN</t>
        </is>
      </c>
      <c r="E547" t="inlineStr">
        <is>
          <t>TOMELILLA</t>
        </is>
      </c>
      <c r="F547" t="inlineStr">
        <is>
          <t>Övriga Aktiebolag</t>
        </is>
      </c>
      <c r="G547" t="n">
        <v>9.800000000000001</v>
      </c>
      <c r="H547" t="n">
        <v>0</v>
      </c>
      <c r="I547" t="n">
        <v>0</v>
      </c>
      <c r="J547" t="n">
        <v>0</v>
      </c>
      <c r="K547" t="n">
        <v>0</v>
      </c>
      <c r="L547" t="n">
        <v>0</v>
      </c>
      <c r="M547" t="n">
        <v>0</v>
      </c>
      <c r="N547" t="n">
        <v>0</v>
      </c>
      <c r="O547" t="n">
        <v>0</v>
      </c>
      <c r="P547" t="n">
        <v>0</v>
      </c>
      <c r="Q547" t="n">
        <v>0</v>
      </c>
      <c r="R547" s="2" t="inlineStr"/>
    </row>
    <row r="548" ht="15" customHeight="1">
      <c r="A548" t="inlineStr">
        <is>
          <t>A 19651-2022</t>
        </is>
      </c>
      <c r="B548" s="1" t="n">
        <v>44694.42083333333</v>
      </c>
      <c r="C548" s="1" t="n">
        <v>45962</v>
      </c>
      <c r="D548" t="inlineStr">
        <is>
          <t>SKÅNE LÄN</t>
        </is>
      </c>
      <c r="E548" t="inlineStr">
        <is>
          <t>TOMELILLA</t>
        </is>
      </c>
      <c r="G548" t="n">
        <v>0.4</v>
      </c>
      <c r="H548" t="n">
        <v>0</v>
      </c>
      <c r="I548" t="n">
        <v>0</v>
      </c>
      <c r="J548" t="n">
        <v>0</v>
      </c>
      <c r="K548" t="n">
        <v>0</v>
      </c>
      <c r="L548" t="n">
        <v>0</v>
      </c>
      <c r="M548" t="n">
        <v>0</v>
      </c>
      <c r="N548" t="n">
        <v>0</v>
      </c>
      <c r="O548" t="n">
        <v>0</v>
      </c>
      <c r="P548" t="n">
        <v>0</v>
      </c>
      <c r="Q548" t="n">
        <v>0</v>
      </c>
      <c r="R548" s="2" t="inlineStr"/>
    </row>
    <row r="549" ht="15" customHeight="1">
      <c r="A549" t="inlineStr">
        <is>
          <t>A 9238-2021</t>
        </is>
      </c>
      <c r="B549" s="1" t="n">
        <v>44250</v>
      </c>
      <c r="C549" s="1" t="n">
        <v>45962</v>
      </c>
      <c r="D549" t="inlineStr">
        <is>
          <t>SKÅNE LÄN</t>
        </is>
      </c>
      <c r="E549" t="inlineStr">
        <is>
          <t>TOMELILLA</t>
        </is>
      </c>
      <c r="F549" t="inlineStr">
        <is>
          <t>Övriga Aktiebolag</t>
        </is>
      </c>
      <c r="G549" t="n">
        <v>4</v>
      </c>
      <c r="H549" t="n">
        <v>0</v>
      </c>
      <c r="I549" t="n">
        <v>0</v>
      </c>
      <c r="J549" t="n">
        <v>0</v>
      </c>
      <c r="K549" t="n">
        <v>0</v>
      </c>
      <c r="L549" t="n">
        <v>0</v>
      </c>
      <c r="M549" t="n">
        <v>0</v>
      </c>
      <c r="N549" t="n">
        <v>0</v>
      </c>
      <c r="O549" t="n">
        <v>0</v>
      </c>
      <c r="P549" t="n">
        <v>0</v>
      </c>
      <c r="Q549" t="n">
        <v>0</v>
      </c>
      <c r="R549" s="2" t="inlineStr"/>
    </row>
    <row r="550" ht="15" customHeight="1">
      <c r="A550" t="inlineStr">
        <is>
          <t>A 18590-2022</t>
        </is>
      </c>
      <c r="B550" s="1" t="n">
        <v>44687</v>
      </c>
      <c r="C550" s="1" t="n">
        <v>45962</v>
      </c>
      <c r="D550" t="inlineStr">
        <is>
          <t>SKÅNE LÄN</t>
        </is>
      </c>
      <c r="E550" t="inlineStr">
        <is>
          <t>OSBY</t>
        </is>
      </c>
      <c r="G550" t="n">
        <v>0.6</v>
      </c>
      <c r="H550" t="n">
        <v>0</v>
      </c>
      <c r="I550" t="n">
        <v>0</v>
      </c>
      <c r="J550" t="n">
        <v>0</v>
      </c>
      <c r="K550" t="n">
        <v>0</v>
      </c>
      <c r="L550" t="n">
        <v>0</v>
      </c>
      <c r="M550" t="n">
        <v>0</v>
      </c>
      <c r="N550" t="n">
        <v>0</v>
      </c>
      <c r="O550" t="n">
        <v>0</v>
      </c>
      <c r="P550" t="n">
        <v>0</v>
      </c>
      <c r="Q550" t="n">
        <v>0</v>
      </c>
      <c r="R550" s="2" t="inlineStr"/>
    </row>
    <row r="551" ht="15" customHeight="1">
      <c r="A551" t="inlineStr">
        <is>
          <t>A 3855-2022</t>
        </is>
      </c>
      <c r="B551" s="1" t="n">
        <v>44587</v>
      </c>
      <c r="C551" s="1" t="n">
        <v>45962</v>
      </c>
      <c r="D551" t="inlineStr">
        <is>
          <t>SKÅNE LÄN</t>
        </is>
      </c>
      <c r="E551" t="inlineStr">
        <is>
          <t>HÄSSLEHOLM</t>
        </is>
      </c>
      <c r="F551" t="inlineStr">
        <is>
          <t>Övriga Aktiebolag</t>
        </is>
      </c>
      <c r="G551" t="n">
        <v>0.9</v>
      </c>
      <c r="H551" t="n">
        <v>0</v>
      </c>
      <c r="I551" t="n">
        <v>0</v>
      </c>
      <c r="J551" t="n">
        <v>0</v>
      </c>
      <c r="K551" t="n">
        <v>0</v>
      </c>
      <c r="L551" t="n">
        <v>0</v>
      </c>
      <c r="M551" t="n">
        <v>0</v>
      </c>
      <c r="N551" t="n">
        <v>0</v>
      </c>
      <c r="O551" t="n">
        <v>0</v>
      </c>
      <c r="P551" t="n">
        <v>0</v>
      </c>
      <c r="Q551" t="n">
        <v>0</v>
      </c>
      <c r="R551" s="2" t="inlineStr"/>
    </row>
    <row r="552" ht="15" customHeight="1">
      <c r="A552" t="inlineStr">
        <is>
          <t>A 54106-2022</t>
        </is>
      </c>
      <c r="B552" s="1" t="n">
        <v>44879</v>
      </c>
      <c r="C552" s="1" t="n">
        <v>45962</v>
      </c>
      <c r="D552" t="inlineStr">
        <is>
          <t>SKÅNE LÄN</t>
        </is>
      </c>
      <c r="E552" t="inlineStr">
        <is>
          <t>HÄSSLEHOLM</t>
        </is>
      </c>
      <c r="F552" t="inlineStr">
        <is>
          <t>Övriga Aktiebolag</t>
        </is>
      </c>
      <c r="G552" t="n">
        <v>0.7</v>
      </c>
      <c r="H552" t="n">
        <v>0</v>
      </c>
      <c r="I552" t="n">
        <v>0</v>
      </c>
      <c r="J552" t="n">
        <v>0</v>
      </c>
      <c r="K552" t="n">
        <v>0</v>
      </c>
      <c r="L552" t="n">
        <v>0</v>
      </c>
      <c r="M552" t="n">
        <v>0</v>
      </c>
      <c r="N552" t="n">
        <v>0</v>
      </c>
      <c r="O552" t="n">
        <v>0</v>
      </c>
      <c r="P552" t="n">
        <v>0</v>
      </c>
      <c r="Q552" t="n">
        <v>0</v>
      </c>
      <c r="R552" s="2" t="inlineStr"/>
    </row>
    <row r="553" ht="15" customHeight="1">
      <c r="A553" t="inlineStr">
        <is>
          <t>A 63389-2020</t>
        </is>
      </c>
      <c r="B553" s="1" t="n">
        <v>44161</v>
      </c>
      <c r="C553" s="1" t="n">
        <v>45962</v>
      </c>
      <c r="D553" t="inlineStr">
        <is>
          <t>SKÅNE LÄN</t>
        </is>
      </c>
      <c r="E553" t="inlineStr">
        <is>
          <t>KRISTIANSTAD</t>
        </is>
      </c>
      <c r="G553" t="n">
        <v>11.2</v>
      </c>
      <c r="H553" t="n">
        <v>0</v>
      </c>
      <c r="I553" t="n">
        <v>0</v>
      </c>
      <c r="J553" t="n">
        <v>0</v>
      </c>
      <c r="K553" t="n">
        <v>0</v>
      </c>
      <c r="L553" t="n">
        <v>0</v>
      </c>
      <c r="M553" t="n">
        <v>0</v>
      </c>
      <c r="N553" t="n">
        <v>0</v>
      </c>
      <c r="O553" t="n">
        <v>0</v>
      </c>
      <c r="P553" t="n">
        <v>0</v>
      </c>
      <c r="Q553" t="n">
        <v>0</v>
      </c>
      <c r="R553" s="2" t="inlineStr"/>
    </row>
    <row r="554" ht="15" customHeight="1">
      <c r="A554" t="inlineStr">
        <is>
          <t>A 13548-2021</t>
        </is>
      </c>
      <c r="B554" s="1" t="n">
        <v>44273</v>
      </c>
      <c r="C554" s="1" t="n">
        <v>45962</v>
      </c>
      <c r="D554" t="inlineStr">
        <is>
          <t>SKÅNE LÄN</t>
        </is>
      </c>
      <c r="E554" t="inlineStr">
        <is>
          <t>HÖRBY</t>
        </is>
      </c>
      <c r="G554" t="n">
        <v>3</v>
      </c>
      <c r="H554" t="n">
        <v>0</v>
      </c>
      <c r="I554" t="n">
        <v>0</v>
      </c>
      <c r="J554" t="n">
        <v>0</v>
      </c>
      <c r="K554" t="n">
        <v>0</v>
      </c>
      <c r="L554" t="n">
        <v>0</v>
      </c>
      <c r="M554" t="n">
        <v>0</v>
      </c>
      <c r="N554" t="n">
        <v>0</v>
      </c>
      <c r="O554" t="n">
        <v>0</v>
      </c>
      <c r="P554" t="n">
        <v>0</v>
      </c>
      <c r="Q554" t="n">
        <v>0</v>
      </c>
      <c r="R554" s="2" t="inlineStr"/>
    </row>
    <row r="555" ht="15" customHeight="1">
      <c r="A555" t="inlineStr">
        <is>
          <t>A 20010-2022</t>
        </is>
      </c>
      <c r="B555" s="1" t="n">
        <v>44697.63137731481</v>
      </c>
      <c r="C555" s="1" t="n">
        <v>45962</v>
      </c>
      <c r="D555" t="inlineStr">
        <is>
          <t>SKÅNE LÄN</t>
        </is>
      </c>
      <c r="E555" t="inlineStr">
        <is>
          <t>KLIPPAN</t>
        </is>
      </c>
      <c r="G555" t="n">
        <v>0.3</v>
      </c>
      <c r="H555" t="n">
        <v>0</v>
      </c>
      <c r="I555" t="n">
        <v>0</v>
      </c>
      <c r="J555" t="n">
        <v>0</v>
      </c>
      <c r="K555" t="n">
        <v>0</v>
      </c>
      <c r="L555" t="n">
        <v>0</v>
      </c>
      <c r="M555" t="n">
        <v>0</v>
      </c>
      <c r="N555" t="n">
        <v>0</v>
      </c>
      <c r="O555" t="n">
        <v>0</v>
      </c>
      <c r="P555" t="n">
        <v>0</v>
      </c>
      <c r="Q555" t="n">
        <v>0</v>
      </c>
      <c r="R555" s="2" t="inlineStr"/>
    </row>
    <row r="556" ht="15" customHeight="1">
      <c r="A556" t="inlineStr">
        <is>
          <t>A 1130-2021</t>
        </is>
      </c>
      <c r="B556" s="1" t="n">
        <v>44207.62783564815</v>
      </c>
      <c r="C556" s="1" t="n">
        <v>45962</v>
      </c>
      <c r="D556" t="inlineStr">
        <is>
          <t>SKÅNE LÄN</t>
        </is>
      </c>
      <c r="E556" t="inlineStr">
        <is>
          <t>ÖRKELLJUNGA</t>
        </is>
      </c>
      <c r="G556" t="n">
        <v>0.8</v>
      </c>
      <c r="H556" t="n">
        <v>0</v>
      </c>
      <c r="I556" t="n">
        <v>0</v>
      </c>
      <c r="J556" t="n">
        <v>0</v>
      </c>
      <c r="K556" t="n">
        <v>0</v>
      </c>
      <c r="L556" t="n">
        <v>0</v>
      </c>
      <c r="M556" t="n">
        <v>0</v>
      </c>
      <c r="N556" t="n">
        <v>0</v>
      </c>
      <c r="O556" t="n">
        <v>0</v>
      </c>
      <c r="P556" t="n">
        <v>0</v>
      </c>
      <c r="Q556" t="n">
        <v>0</v>
      </c>
      <c r="R556" s="2" t="inlineStr"/>
    </row>
    <row r="557" ht="15" customHeight="1">
      <c r="A557" t="inlineStr">
        <is>
          <t>A 3516-2021</t>
        </is>
      </c>
      <c r="B557" s="1" t="n">
        <v>44218</v>
      </c>
      <c r="C557" s="1" t="n">
        <v>45962</v>
      </c>
      <c r="D557" t="inlineStr">
        <is>
          <t>SKÅNE LÄN</t>
        </is>
      </c>
      <c r="E557" t="inlineStr">
        <is>
          <t>OSBY</t>
        </is>
      </c>
      <c r="F557" t="inlineStr">
        <is>
          <t>Kyrkan</t>
        </is>
      </c>
      <c r="G557" t="n">
        <v>1.4</v>
      </c>
      <c r="H557" t="n">
        <v>0</v>
      </c>
      <c r="I557" t="n">
        <v>0</v>
      </c>
      <c r="J557" t="n">
        <v>0</v>
      </c>
      <c r="K557" t="n">
        <v>0</v>
      </c>
      <c r="L557" t="n">
        <v>0</v>
      </c>
      <c r="M557" t="n">
        <v>0</v>
      </c>
      <c r="N557" t="n">
        <v>0</v>
      </c>
      <c r="O557" t="n">
        <v>0</v>
      </c>
      <c r="P557" t="n">
        <v>0</v>
      </c>
      <c r="Q557" t="n">
        <v>0</v>
      </c>
      <c r="R557" s="2" t="inlineStr"/>
    </row>
    <row r="558" ht="15" customHeight="1">
      <c r="A558" t="inlineStr">
        <is>
          <t>A 19981-2022</t>
        </is>
      </c>
      <c r="B558" s="1" t="n">
        <v>44697</v>
      </c>
      <c r="C558" s="1" t="n">
        <v>45962</v>
      </c>
      <c r="D558" t="inlineStr">
        <is>
          <t>SKÅNE LÄN</t>
        </is>
      </c>
      <c r="E558" t="inlineStr">
        <is>
          <t>HÖRBY</t>
        </is>
      </c>
      <c r="G558" t="n">
        <v>2.9</v>
      </c>
      <c r="H558" t="n">
        <v>0</v>
      </c>
      <c r="I558" t="n">
        <v>0</v>
      </c>
      <c r="J558" t="n">
        <v>0</v>
      </c>
      <c r="K558" t="n">
        <v>0</v>
      </c>
      <c r="L558" t="n">
        <v>0</v>
      </c>
      <c r="M558" t="n">
        <v>0</v>
      </c>
      <c r="N558" t="n">
        <v>0</v>
      </c>
      <c r="O558" t="n">
        <v>0</v>
      </c>
      <c r="P558" t="n">
        <v>0</v>
      </c>
      <c r="Q558" t="n">
        <v>0</v>
      </c>
      <c r="R558" s="2" t="inlineStr"/>
    </row>
    <row r="559" ht="15" customHeight="1">
      <c r="A559" t="inlineStr">
        <is>
          <t>A 19999-2022</t>
        </is>
      </c>
      <c r="B559" s="1" t="n">
        <v>44697</v>
      </c>
      <c r="C559" s="1" t="n">
        <v>45962</v>
      </c>
      <c r="D559" t="inlineStr">
        <is>
          <t>SKÅNE LÄN</t>
        </is>
      </c>
      <c r="E559" t="inlineStr">
        <is>
          <t>KLIPPAN</t>
        </is>
      </c>
      <c r="G559" t="n">
        <v>1.3</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45962</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69392-2021</t>
        </is>
      </c>
      <c r="B561" s="1" t="n">
        <v>44531</v>
      </c>
      <c r="C561" s="1" t="n">
        <v>45962</v>
      </c>
      <c r="D561" t="inlineStr">
        <is>
          <t>SKÅNE LÄN</t>
        </is>
      </c>
      <c r="E561" t="inlineStr">
        <is>
          <t>KLIPPAN</t>
        </is>
      </c>
      <c r="G561" t="n">
        <v>1.2</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45962</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45962</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45962</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45962</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15197-2022</t>
        </is>
      </c>
      <c r="B566" s="1" t="n">
        <v>44658</v>
      </c>
      <c r="C566" s="1" t="n">
        <v>45962</v>
      </c>
      <c r="D566" t="inlineStr">
        <is>
          <t>SKÅNE LÄN</t>
        </is>
      </c>
      <c r="E566" t="inlineStr">
        <is>
          <t>TOMELILLA</t>
        </is>
      </c>
      <c r="F566" t="inlineStr">
        <is>
          <t>Övriga Aktiebolag</t>
        </is>
      </c>
      <c r="G566" t="n">
        <v>4.9</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45962</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45962</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45962</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45962</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40764-2022</t>
        </is>
      </c>
      <c r="B571" s="1" t="n">
        <v>44820</v>
      </c>
      <c r="C571" s="1" t="n">
        <v>45962</v>
      </c>
      <c r="D571" t="inlineStr">
        <is>
          <t>SKÅNE LÄN</t>
        </is>
      </c>
      <c r="E571" t="inlineStr">
        <is>
          <t>HÄSSLEHOLM</t>
        </is>
      </c>
      <c r="G571" t="n">
        <v>0.3</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45962</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45962</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8386-2022</t>
        </is>
      </c>
      <c r="B574" s="1" t="n">
        <v>44610.64776620371</v>
      </c>
      <c r="C574" s="1" t="n">
        <v>45962</v>
      </c>
      <c r="D574" t="inlineStr">
        <is>
          <t>SKÅNE LÄN</t>
        </is>
      </c>
      <c r="E574" t="inlineStr">
        <is>
          <t>ÖSTRA GÖINGE</t>
        </is>
      </c>
      <c r="G574" t="n">
        <v>0.5</v>
      </c>
      <c r="H574" t="n">
        <v>0</v>
      </c>
      <c r="I574" t="n">
        <v>0</v>
      </c>
      <c r="J574" t="n">
        <v>0</v>
      </c>
      <c r="K574" t="n">
        <v>0</v>
      </c>
      <c r="L574" t="n">
        <v>0</v>
      </c>
      <c r="M574" t="n">
        <v>0</v>
      </c>
      <c r="N574" t="n">
        <v>0</v>
      </c>
      <c r="O574" t="n">
        <v>0</v>
      </c>
      <c r="P574" t="n">
        <v>0</v>
      </c>
      <c r="Q574" t="n">
        <v>0</v>
      </c>
      <c r="R574" s="2" t="inlineStr"/>
    </row>
    <row r="575" ht="15" customHeight="1">
      <c r="A575" t="inlineStr">
        <is>
          <t>A 13903-2022</t>
        </is>
      </c>
      <c r="B575" s="1" t="n">
        <v>44650</v>
      </c>
      <c r="C575" s="1" t="n">
        <v>45962</v>
      </c>
      <c r="D575" t="inlineStr">
        <is>
          <t>SKÅNE LÄN</t>
        </is>
      </c>
      <c r="E575" t="inlineStr">
        <is>
          <t>OSBY</t>
        </is>
      </c>
      <c r="G575" t="n">
        <v>0.6</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45962</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30992-2021</t>
        </is>
      </c>
      <c r="B577" s="1" t="n">
        <v>44366.36262731482</v>
      </c>
      <c r="C577" s="1" t="n">
        <v>45962</v>
      </c>
      <c r="D577" t="inlineStr">
        <is>
          <t>SKÅNE LÄN</t>
        </is>
      </c>
      <c r="E577" t="inlineStr">
        <is>
          <t>HÄSSLEHOLM</t>
        </is>
      </c>
      <c r="G577" t="n">
        <v>3.1</v>
      </c>
      <c r="H577" t="n">
        <v>0</v>
      </c>
      <c r="I577" t="n">
        <v>0</v>
      </c>
      <c r="J577" t="n">
        <v>0</v>
      </c>
      <c r="K577" t="n">
        <v>0</v>
      </c>
      <c r="L577" t="n">
        <v>0</v>
      </c>
      <c r="M577" t="n">
        <v>0</v>
      </c>
      <c r="N577" t="n">
        <v>0</v>
      </c>
      <c r="O577" t="n">
        <v>0</v>
      </c>
      <c r="P577" t="n">
        <v>0</v>
      </c>
      <c r="Q577" t="n">
        <v>0</v>
      </c>
      <c r="R577" s="2" t="inlineStr"/>
    </row>
    <row r="578" ht="15" customHeight="1">
      <c r="A578" t="inlineStr">
        <is>
          <t>A 38629-2022</t>
        </is>
      </c>
      <c r="B578" s="1" t="n">
        <v>44813.63295138889</v>
      </c>
      <c r="C578" s="1" t="n">
        <v>45962</v>
      </c>
      <c r="D578" t="inlineStr">
        <is>
          <t>SKÅNE LÄN</t>
        </is>
      </c>
      <c r="E578" t="inlineStr">
        <is>
          <t>OSBY</t>
        </is>
      </c>
      <c r="F578" t="inlineStr">
        <is>
          <t>Kyrkan</t>
        </is>
      </c>
      <c r="G578" t="n">
        <v>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45962</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38160-2021</t>
        </is>
      </c>
      <c r="B580" s="1" t="n">
        <v>44405.42719907407</v>
      </c>
      <c r="C580" s="1" t="n">
        <v>45962</v>
      </c>
      <c r="D580" t="inlineStr">
        <is>
          <t>SKÅNE LÄN</t>
        </is>
      </c>
      <c r="E580" t="inlineStr">
        <is>
          <t>HÄSSLEHOLM</t>
        </is>
      </c>
      <c r="G580" t="n">
        <v>2.2</v>
      </c>
      <c r="H580" t="n">
        <v>0</v>
      </c>
      <c r="I580" t="n">
        <v>0</v>
      </c>
      <c r="J580" t="n">
        <v>0</v>
      </c>
      <c r="K580" t="n">
        <v>0</v>
      </c>
      <c r="L580" t="n">
        <v>0</v>
      </c>
      <c r="M580" t="n">
        <v>0</v>
      </c>
      <c r="N580" t="n">
        <v>0</v>
      </c>
      <c r="O580" t="n">
        <v>0</v>
      </c>
      <c r="P580" t="n">
        <v>0</v>
      </c>
      <c r="Q580" t="n">
        <v>0</v>
      </c>
      <c r="R580" s="2" t="inlineStr"/>
    </row>
    <row r="581" ht="15" customHeight="1">
      <c r="A581" t="inlineStr">
        <is>
          <t>A 19750-2022</t>
        </is>
      </c>
      <c r="B581" s="1" t="n">
        <v>44694</v>
      </c>
      <c r="C581" s="1" t="n">
        <v>45962</v>
      </c>
      <c r="D581" t="inlineStr">
        <is>
          <t>SKÅNE LÄN</t>
        </is>
      </c>
      <c r="E581" t="inlineStr">
        <is>
          <t>OSBY</t>
        </is>
      </c>
      <c r="G581" t="n">
        <v>0.8</v>
      </c>
      <c r="H581" t="n">
        <v>0</v>
      </c>
      <c r="I581" t="n">
        <v>0</v>
      </c>
      <c r="J581" t="n">
        <v>0</v>
      </c>
      <c r="K581" t="n">
        <v>0</v>
      </c>
      <c r="L581" t="n">
        <v>0</v>
      </c>
      <c r="M581" t="n">
        <v>0</v>
      </c>
      <c r="N581" t="n">
        <v>0</v>
      </c>
      <c r="O581" t="n">
        <v>0</v>
      </c>
      <c r="P581" t="n">
        <v>0</v>
      </c>
      <c r="Q581" t="n">
        <v>0</v>
      </c>
      <c r="R581" s="2" t="inlineStr"/>
    </row>
    <row r="582" ht="15" customHeight="1">
      <c r="A582" t="inlineStr">
        <is>
          <t>A 10355-2022</t>
        </is>
      </c>
      <c r="B582" s="1" t="n">
        <v>44623.35771990741</v>
      </c>
      <c r="C582" s="1" t="n">
        <v>45962</v>
      </c>
      <c r="D582" t="inlineStr">
        <is>
          <t>SKÅNE LÄN</t>
        </is>
      </c>
      <c r="E582" t="inlineStr">
        <is>
          <t>KRISTIANSTAD</t>
        </is>
      </c>
      <c r="G582" t="n">
        <v>0.9</v>
      </c>
      <c r="H582" t="n">
        <v>0</v>
      </c>
      <c r="I582" t="n">
        <v>0</v>
      </c>
      <c r="J582" t="n">
        <v>0</v>
      </c>
      <c r="K582" t="n">
        <v>0</v>
      </c>
      <c r="L582" t="n">
        <v>0</v>
      </c>
      <c r="M582" t="n">
        <v>0</v>
      </c>
      <c r="N582" t="n">
        <v>0</v>
      </c>
      <c r="O582" t="n">
        <v>0</v>
      </c>
      <c r="P582" t="n">
        <v>0</v>
      </c>
      <c r="Q582" t="n">
        <v>0</v>
      </c>
      <c r="R582" s="2" t="inlineStr"/>
    </row>
    <row r="583" ht="15" customHeight="1">
      <c r="A583" t="inlineStr">
        <is>
          <t>A 38693-2021</t>
        </is>
      </c>
      <c r="B583" s="1" t="n">
        <v>44410</v>
      </c>
      <c r="C583" s="1" t="n">
        <v>45962</v>
      </c>
      <c r="D583" t="inlineStr">
        <is>
          <t>SKÅNE LÄN</t>
        </is>
      </c>
      <c r="E583" t="inlineStr">
        <is>
          <t>KRISTIANSTAD</t>
        </is>
      </c>
      <c r="G583" t="n">
        <v>2.2</v>
      </c>
      <c r="H583" t="n">
        <v>0</v>
      </c>
      <c r="I583" t="n">
        <v>0</v>
      </c>
      <c r="J583" t="n">
        <v>0</v>
      </c>
      <c r="K583" t="n">
        <v>0</v>
      </c>
      <c r="L583" t="n">
        <v>0</v>
      </c>
      <c r="M583" t="n">
        <v>0</v>
      </c>
      <c r="N583" t="n">
        <v>0</v>
      </c>
      <c r="O583" t="n">
        <v>0</v>
      </c>
      <c r="P583" t="n">
        <v>0</v>
      </c>
      <c r="Q583" t="n">
        <v>0</v>
      </c>
      <c r="R583" s="2" t="inlineStr"/>
    </row>
    <row r="584" ht="15" customHeight="1">
      <c r="A584" t="inlineStr">
        <is>
          <t>A 36947-2021</t>
        </is>
      </c>
      <c r="B584" s="1" t="n">
        <v>44393</v>
      </c>
      <c r="C584" s="1" t="n">
        <v>45962</v>
      </c>
      <c r="D584" t="inlineStr">
        <is>
          <t>SKÅNE LÄN</t>
        </is>
      </c>
      <c r="E584" t="inlineStr">
        <is>
          <t>YSTAD</t>
        </is>
      </c>
      <c r="G584" t="n">
        <v>1.1</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45962</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64361-2020</t>
        </is>
      </c>
      <c r="B586" s="1" t="n">
        <v>44168</v>
      </c>
      <c r="C586" s="1" t="n">
        <v>45962</v>
      </c>
      <c r="D586" t="inlineStr">
        <is>
          <t>SKÅNE LÄN</t>
        </is>
      </c>
      <c r="E586" t="inlineStr">
        <is>
          <t>HÄSSLEHOLM</t>
        </is>
      </c>
      <c r="G586" t="n">
        <v>5.4</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45962</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45962</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44755-2021</t>
        </is>
      </c>
      <c r="B589" s="1" t="n">
        <v>44438</v>
      </c>
      <c r="C589" s="1" t="n">
        <v>45962</v>
      </c>
      <c r="D589" t="inlineStr">
        <is>
          <t>SKÅNE LÄN</t>
        </is>
      </c>
      <c r="E589" t="inlineStr">
        <is>
          <t>HÄSSLEHOLM</t>
        </is>
      </c>
      <c r="G589" t="n">
        <v>0.3</v>
      </c>
      <c r="H589" t="n">
        <v>0</v>
      </c>
      <c r="I589" t="n">
        <v>0</v>
      </c>
      <c r="J589" t="n">
        <v>0</v>
      </c>
      <c r="K589" t="n">
        <v>0</v>
      </c>
      <c r="L589" t="n">
        <v>0</v>
      </c>
      <c r="M589" t="n">
        <v>0</v>
      </c>
      <c r="N589" t="n">
        <v>0</v>
      </c>
      <c r="O589" t="n">
        <v>0</v>
      </c>
      <c r="P589" t="n">
        <v>0</v>
      </c>
      <c r="Q589" t="n">
        <v>0</v>
      </c>
      <c r="R589" s="2" t="inlineStr"/>
    </row>
    <row r="590" ht="15" customHeight="1">
      <c r="A590" t="inlineStr">
        <is>
          <t>A 44770-2021</t>
        </is>
      </c>
      <c r="B590" s="1" t="n">
        <v>44438</v>
      </c>
      <c r="C590" s="1" t="n">
        <v>45962</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38560-2022</t>
        </is>
      </c>
      <c r="B591" s="1" t="n">
        <v>44813</v>
      </c>
      <c r="C591" s="1" t="n">
        <v>45962</v>
      </c>
      <c r="D591" t="inlineStr">
        <is>
          <t>SKÅNE LÄN</t>
        </is>
      </c>
      <c r="E591" t="inlineStr">
        <is>
          <t>ÖRKELLJUNGA</t>
        </is>
      </c>
      <c r="G591" t="n">
        <v>1.7</v>
      </c>
      <c r="H591" t="n">
        <v>0</v>
      </c>
      <c r="I591" t="n">
        <v>0</v>
      </c>
      <c r="J591" t="n">
        <v>0</v>
      </c>
      <c r="K591" t="n">
        <v>0</v>
      </c>
      <c r="L591" t="n">
        <v>0</v>
      </c>
      <c r="M591" t="n">
        <v>0</v>
      </c>
      <c r="N591" t="n">
        <v>0</v>
      </c>
      <c r="O591" t="n">
        <v>0</v>
      </c>
      <c r="P591" t="n">
        <v>0</v>
      </c>
      <c r="Q591" t="n">
        <v>0</v>
      </c>
      <c r="R591" s="2" t="inlineStr"/>
    </row>
    <row r="592" ht="15" customHeight="1">
      <c r="A592" t="inlineStr">
        <is>
          <t>A 42221-2021</t>
        </is>
      </c>
      <c r="B592" s="1" t="n">
        <v>44426</v>
      </c>
      <c r="C592" s="1" t="n">
        <v>45962</v>
      </c>
      <c r="D592" t="inlineStr">
        <is>
          <t>SKÅNE LÄN</t>
        </is>
      </c>
      <c r="E592" t="inlineStr">
        <is>
          <t>HÖRBY</t>
        </is>
      </c>
      <c r="G592" t="n">
        <v>1.4</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45962</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28143-2022</t>
        </is>
      </c>
      <c r="B594" s="1" t="n">
        <v>44746</v>
      </c>
      <c r="C594" s="1" t="n">
        <v>45962</v>
      </c>
      <c r="D594" t="inlineStr">
        <is>
          <t>SKÅNE LÄN</t>
        </is>
      </c>
      <c r="E594" t="inlineStr">
        <is>
          <t>ÖSTRA GÖINGE</t>
        </is>
      </c>
      <c r="G594" t="n">
        <v>5.5</v>
      </c>
      <c r="H594" t="n">
        <v>0</v>
      </c>
      <c r="I594" t="n">
        <v>0</v>
      </c>
      <c r="J594" t="n">
        <v>0</v>
      </c>
      <c r="K594" t="n">
        <v>0</v>
      </c>
      <c r="L594" t="n">
        <v>0</v>
      </c>
      <c r="M594" t="n">
        <v>0</v>
      </c>
      <c r="N594" t="n">
        <v>0</v>
      </c>
      <c r="O594" t="n">
        <v>0</v>
      </c>
      <c r="P594" t="n">
        <v>0</v>
      </c>
      <c r="Q594" t="n">
        <v>0</v>
      </c>
      <c r="R594" s="2" t="inlineStr"/>
    </row>
    <row r="595" ht="15" customHeight="1">
      <c r="A595" t="inlineStr">
        <is>
          <t>A 65788-2020</t>
        </is>
      </c>
      <c r="B595" s="1" t="n">
        <v>44174</v>
      </c>
      <c r="C595" s="1" t="n">
        <v>45962</v>
      </c>
      <c r="D595" t="inlineStr">
        <is>
          <t>SKÅNE LÄN</t>
        </is>
      </c>
      <c r="E595" t="inlineStr">
        <is>
          <t>HÖRBY</t>
        </is>
      </c>
      <c r="G595" t="n">
        <v>2.2</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45962</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48009-2021</t>
        </is>
      </c>
      <c r="B597" s="1" t="n">
        <v>44449</v>
      </c>
      <c r="C597" s="1" t="n">
        <v>45962</v>
      </c>
      <c r="D597" t="inlineStr">
        <is>
          <t>SKÅNE LÄN</t>
        </is>
      </c>
      <c r="E597" t="inlineStr">
        <is>
          <t>SJÖBO</t>
        </is>
      </c>
      <c r="G597" t="n">
        <v>3.9</v>
      </c>
      <c r="H597" t="n">
        <v>0</v>
      </c>
      <c r="I597" t="n">
        <v>0</v>
      </c>
      <c r="J597" t="n">
        <v>0</v>
      </c>
      <c r="K597" t="n">
        <v>0</v>
      </c>
      <c r="L597" t="n">
        <v>0</v>
      </c>
      <c r="M597" t="n">
        <v>0</v>
      </c>
      <c r="N597" t="n">
        <v>0</v>
      </c>
      <c r="O597" t="n">
        <v>0</v>
      </c>
      <c r="P597" t="n">
        <v>0</v>
      </c>
      <c r="Q597" t="n">
        <v>0</v>
      </c>
      <c r="R597" s="2" t="inlineStr"/>
    </row>
    <row r="598" ht="15" customHeight="1">
      <c r="A598" t="inlineStr">
        <is>
          <t>A 61073-2021</t>
        </is>
      </c>
      <c r="B598" s="1" t="n">
        <v>44497.83447916667</v>
      </c>
      <c r="C598" s="1" t="n">
        <v>45962</v>
      </c>
      <c r="D598" t="inlineStr">
        <is>
          <t>SKÅNE LÄN</t>
        </is>
      </c>
      <c r="E598" t="inlineStr">
        <is>
          <t>HÄSSLEHOLM</t>
        </is>
      </c>
      <c r="G598" t="n">
        <v>0.4</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45962</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2765-2022</t>
        </is>
      </c>
      <c r="B600" s="1" t="n">
        <v>44580</v>
      </c>
      <c r="C600" s="1" t="n">
        <v>45962</v>
      </c>
      <c r="D600" t="inlineStr">
        <is>
          <t>SKÅNE LÄN</t>
        </is>
      </c>
      <c r="E600" t="inlineStr">
        <is>
          <t>HÄSSLEHOLM</t>
        </is>
      </c>
      <c r="G600" t="n">
        <v>0.6</v>
      </c>
      <c r="H600" t="n">
        <v>0</v>
      </c>
      <c r="I600" t="n">
        <v>0</v>
      </c>
      <c r="J600" t="n">
        <v>0</v>
      </c>
      <c r="K600" t="n">
        <v>0</v>
      </c>
      <c r="L600" t="n">
        <v>0</v>
      </c>
      <c r="M600" t="n">
        <v>0</v>
      </c>
      <c r="N600" t="n">
        <v>0</v>
      </c>
      <c r="O600" t="n">
        <v>0</v>
      </c>
      <c r="P600" t="n">
        <v>0</v>
      </c>
      <c r="Q600" t="n">
        <v>0</v>
      </c>
      <c r="R600" s="2" t="inlineStr"/>
    </row>
    <row r="601" ht="15" customHeight="1">
      <c r="A601" t="inlineStr">
        <is>
          <t>A 37181-2022</t>
        </is>
      </c>
      <c r="B601" s="1" t="n">
        <v>44806</v>
      </c>
      <c r="C601" s="1" t="n">
        <v>45962</v>
      </c>
      <c r="D601" t="inlineStr">
        <is>
          <t>SKÅNE LÄN</t>
        </is>
      </c>
      <c r="E601" t="inlineStr">
        <is>
          <t>HÄSSLEHOLM</t>
        </is>
      </c>
      <c r="F601" t="inlineStr">
        <is>
          <t>Kyrkan</t>
        </is>
      </c>
      <c r="G601" t="n">
        <v>3.5</v>
      </c>
      <c r="H601" t="n">
        <v>0</v>
      </c>
      <c r="I601" t="n">
        <v>0</v>
      </c>
      <c r="J601" t="n">
        <v>0</v>
      </c>
      <c r="K601" t="n">
        <v>0</v>
      </c>
      <c r="L601" t="n">
        <v>0</v>
      </c>
      <c r="M601" t="n">
        <v>0</v>
      </c>
      <c r="N601" t="n">
        <v>0</v>
      </c>
      <c r="O601" t="n">
        <v>0</v>
      </c>
      <c r="P601" t="n">
        <v>0</v>
      </c>
      <c r="Q601" t="n">
        <v>0</v>
      </c>
      <c r="R601" s="2" t="inlineStr"/>
    </row>
    <row r="602" ht="15" customHeight="1">
      <c r="A602" t="inlineStr">
        <is>
          <t>A 18939-2022</t>
        </is>
      </c>
      <c r="B602" s="1" t="n">
        <v>44690</v>
      </c>
      <c r="C602" s="1" t="n">
        <v>45962</v>
      </c>
      <c r="D602" t="inlineStr">
        <is>
          <t>SKÅNE LÄN</t>
        </is>
      </c>
      <c r="E602" t="inlineStr">
        <is>
          <t>HÖÖR</t>
        </is>
      </c>
      <c r="G602" t="n">
        <v>1.5</v>
      </c>
      <c r="H602" t="n">
        <v>0</v>
      </c>
      <c r="I602" t="n">
        <v>0</v>
      </c>
      <c r="J602" t="n">
        <v>0</v>
      </c>
      <c r="K602" t="n">
        <v>0</v>
      </c>
      <c r="L602" t="n">
        <v>0</v>
      </c>
      <c r="M602" t="n">
        <v>0</v>
      </c>
      <c r="N602" t="n">
        <v>0</v>
      </c>
      <c r="O602" t="n">
        <v>0</v>
      </c>
      <c r="P602" t="n">
        <v>0</v>
      </c>
      <c r="Q602" t="n">
        <v>0</v>
      </c>
      <c r="R602" s="2" t="inlineStr"/>
    </row>
    <row r="603" ht="15" customHeight="1">
      <c r="A603" t="inlineStr">
        <is>
          <t>A 27729-2021</t>
        </is>
      </c>
      <c r="B603" s="1" t="n">
        <v>44354</v>
      </c>
      <c r="C603" s="1" t="n">
        <v>45962</v>
      </c>
      <c r="D603" t="inlineStr">
        <is>
          <t>SKÅNE LÄN</t>
        </is>
      </c>
      <c r="E603" t="inlineStr">
        <is>
          <t>KRISTIANSTAD</t>
        </is>
      </c>
      <c r="G603" t="n">
        <v>3.1</v>
      </c>
      <c r="H603" t="n">
        <v>0</v>
      </c>
      <c r="I603" t="n">
        <v>0</v>
      </c>
      <c r="J603" t="n">
        <v>0</v>
      </c>
      <c r="K603" t="n">
        <v>0</v>
      </c>
      <c r="L603" t="n">
        <v>0</v>
      </c>
      <c r="M603" t="n">
        <v>0</v>
      </c>
      <c r="N603" t="n">
        <v>0</v>
      </c>
      <c r="O603" t="n">
        <v>0</v>
      </c>
      <c r="P603" t="n">
        <v>0</v>
      </c>
      <c r="Q603" t="n">
        <v>0</v>
      </c>
      <c r="R603" s="2" t="inlineStr"/>
    </row>
    <row r="604" ht="15" customHeight="1">
      <c r="A604" t="inlineStr">
        <is>
          <t>A 29245-2021</t>
        </is>
      </c>
      <c r="B604" s="1" t="n">
        <v>44361</v>
      </c>
      <c r="C604" s="1" t="n">
        <v>45962</v>
      </c>
      <c r="D604" t="inlineStr">
        <is>
          <t>SKÅNE LÄN</t>
        </is>
      </c>
      <c r="E604" t="inlineStr">
        <is>
          <t>BÅSTAD</t>
        </is>
      </c>
      <c r="G604" t="n">
        <v>0.4</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45962</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56876-2021</t>
        </is>
      </c>
      <c r="B606" s="1" t="n">
        <v>44481</v>
      </c>
      <c r="C606" s="1" t="n">
        <v>45962</v>
      </c>
      <c r="D606" t="inlineStr">
        <is>
          <t>SKÅNE LÄN</t>
        </is>
      </c>
      <c r="E606" t="inlineStr">
        <is>
          <t>OSBY</t>
        </is>
      </c>
      <c r="G606" t="n">
        <v>0.8</v>
      </c>
      <c r="H606" t="n">
        <v>0</v>
      </c>
      <c r="I606" t="n">
        <v>0</v>
      </c>
      <c r="J606" t="n">
        <v>0</v>
      </c>
      <c r="K606" t="n">
        <v>0</v>
      </c>
      <c r="L606" t="n">
        <v>0</v>
      </c>
      <c r="M606" t="n">
        <v>0</v>
      </c>
      <c r="N606" t="n">
        <v>0</v>
      </c>
      <c r="O606" t="n">
        <v>0</v>
      </c>
      <c r="P606" t="n">
        <v>0</v>
      </c>
      <c r="Q606" t="n">
        <v>0</v>
      </c>
      <c r="R606" s="2" t="inlineStr"/>
    </row>
    <row r="607" ht="15" customHeight="1">
      <c r="A607" t="inlineStr">
        <is>
          <t>A 57227-2021</t>
        </is>
      </c>
      <c r="B607" s="1" t="n">
        <v>44482</v>
      </c>
      <c r="C607" s="1" t="n">
        <v>45962</v>
      </c>
      <c r="D607" t="inlineStr">
        <is>
          <t>SKÅNE LÄN</t>
        </is>
      </c>
      <c r="E607" t="inlineStr">
        <is>
          <t>OSBY</t>
        </is>
      </c>
      <c r="G607" t="n">
        <v>1.6</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45962</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7857-2022</t>
        </is>
      </c>
      <c r="B609" s="1" t="n">
        <v>44607</v>
      </c>
      <c r="C609" s="1" t="n">
        <v>45962</v>
      </c>
      <c r="D609" t="inlineStr">
        <is>
          <t>SKÅNE LÄN</t>
        </is>
      </c>
      <c r="E609" t="inlineStr">
        <is>
          <t>HÄSSLEHOLM</t>
        </is>
      </c>
      <c r="F609" t="inlineStr">
        <is>
          <t>Kyrkan</t>
        </is>
      </c>
      <c r="G609" t="n">
        <v>12.2</v>
      </c>
      <c r="H609" t="n">
        <v>0</v>
      </c>
      <c r="I609" t="n">
        <v>0</v>
      </c>
      <c r="J609" t="n">
        <v>0</v>
      </c>
      <c r="K609" t="n">
        <v>0</v>
      </c>
      <c r="L609" t="n">
        <v>0</v>
      </c>
      <c r="M609" t="n">
        <v>0</v>
      </c>
      <c r="N609" t="n">
        <v>0</v>
      </c>
      <c r="O609" t="n">
        <v>0</v>
      </c>
      <c r="P609" t="n">
        <v>0</v>
      </c>
      <c r="Q609" t="n">
        <v>0</v>
      </c>
      <c r="R609" s="2" t="inlineStr"/>
    </row>
    <row r="610" ht="15" customHeight="1">
      <c r="A610" t="inlineStr">
        <is>
          <t>A 40694-2021</t>
        </is>
      </c>
      <c r="B610" s="1" t="n">
        <v>44420.60756944444</v>
      </c>
      <c r="C610" s="1" t="n">
        <v>45962</v>
      </c>
      <c r="D610" t="inlineStr">
        <is>
          <t>SKÅNE LÄN</t>
        </is>
      </c>
      <c r="E610" t="inlineStr">
        <is>
          <t>OSBY</t>
        </is>
      </c>
      <c r="G610" t="n">
        <v>1.8</v>
      </c>
      <c r="H610" t="n">
        <v>0</v>
      </c>
      <c r="I610" t="n">
        <v>0</v>
      </c>
      <c r="J610" t="n">
        <v>0</v>
      </c>
      <c r="K610" t="n">
        <v>0</v>
      </c>
      <c r="L610" t="n">
        <v>0</v>
      </c>
      <c r="M610" t="n">
        <v>0</v>
      </c>
      <c r="N610" t="n">
        <v>0</v>
      </c>
      <c r="O610" t="n">
        <v>0</v>
      </c>
      <c r="P610" t="n">
        <v>0</v>
      </c>
      <c r="Q610" t="n">
        <v>0</v>
      </c>
      <c r="R610" s="2" t="inlineStr"/>
    </row>
    <row r="611" ht="15" customHeight="1">
      <c r="A611" t="inlineStr">
        <is>
          <t>A 64255-2021</t>
        </is>
      </c>
      <c r="B611" s="1" t="n">
        <v>44510.67604166667</v>
      </c>
      <c r="C611" s="1" t="n">
        <v>45962</v>
      </c>
      <c r="D611" t="inlineStr">
        <is>
          <t>SKÅNE LÄN</t>
        </is>
      </c>
      <c r="E611" t="inlineStr">
        <is>
          <t>HÖRBY</t>
        </is>
      </c>
      <c r="G611" t="n">
        <v>0.5</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45962</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45962</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74008-2021</t>
        </is>
      </c>
      <c r="B614" s="1" t="n">
        <v>44553</v>
      </c>
      <c r="C614" s="1" t="n">
        <v>45962</v>
      </c>
      <c r="D614" t="inlineStr">
        <is>
          <t>SKÅNE LÄN</t>
        </is>
      </c>
      <c r="E614" t="inlineStr">
        <is>
          <t>ESLÖV</t>
        </is>
      </c>
      <c r="G614" t="n">
        <v>0.8</v>
      </c>
      <c r="H614" t="n">
        <v>0</v>
      </c>
      <c r="I614" t="n">
        <v>0</v>
      </c>
      <c r="J614" t="n">
        <v>0</v>
      </c>
      <c r="K614" t="n">
        <v>0</v>
      </c>
      <c r="L614" t="n">
        <v>0</v>
      </c>
      <c r="M614" t="n">
        <v>0</v>
      </c>
      <c r="N614" t="n">
        <v>0</v>
      </c>
      <c r="O614" t="n">
        <v>0</v>
      </c>
      <c r="P614" t="n">
        <v>0</v>
      </c>
      <c r="Q614" t="n">
        <v>0</v>
      </c>
      <c r="R614" s="2" t="inlineStr"/>
    </row>
    <row r="615" ht="15" customHeight="1">
      <c r="A615" t="inlineStr">
        <is>
          <t>A 61072-2021</t>
        </is>
      </c>
      <c r="B615" s="1" t="n">
        <v>44497.83344907407</v>
      </c>
      <c r="C615" s="1" t="n">
        <v>45962</v>
      </c>
      <c r="D615" t="inlineStr">
        <is>
          <t>SKÅNE LÄN</t>
        </is>
      </c>
      <c r="E615" t="inlineStr">
        <is>
          <t>HÄSSLEHOLM</t>
        </is>
      </c>
      <c r="G615" t="n">
        <v>0.4</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45962</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45962</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1310-2022</t>
        </is>
      </c>
      <c r="B618" s="1" t="n">
        <v>44572</v>
      </c>
      <c r="C618" s="1" t="n">
        <v>45962</v>
      </c>
      <c r="D618" t="inlineStr">
        <is>
          <t>SKÅNE LÄN</t>
        </is>
      </c>
      <c r="E618" t="inlineStr">
        <is>
          <t>OSBY</t>
        </is>
      </c>
      <c r="G618" t="n">
        <v>3.4</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45962</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62420-2020</t>
        </is>
      </c>
      <c r="B620" s="1" t="n">
        <v>44159</v>
      </c>
      <c r="C620" s="1" t="n">
        <v>45962</v>
      </c>
      <c r="D620" t="inlineStr">
        <is>
          <t>SKÅNE LÄN</t>
        </is>
      </c>
      <c r="E620" t="inlineStr">
        <is>
          <t>ESLÖV</t>
        </is>
      </c>
      <c r="G620" t="n">
        <v>1.3</v>
      </c>
      <c r="H620" t="n">
        <v>0</v>
      </c>
      <c r="I620" t="n">
        <v>0</v>
      </c>
      <c r="J620" t="n">
        <v>0</v>
      </c>
      <c r="K620" t="n">
        <v>0</v>
      </c>
      <c r="L620" t="n">
        <v>0</v>
      </c>
      <c r="M620" t="n">
        <v>0</v>
      </c>
      <c r="N620" t="n">
        <v>0</v>
      </c>
      <c r="O620" t="n">
        <v>0</v>
      </c>
      <c r="P620" t="n">
        <v>0</v>
      </c>
      <c r="Q620" t="n">
        <v>0</v>
      </c>
      <c r="R620" s="2" t="inlineStr"/>
    </row>
    <row r="621" ht="15" customHeight="1">
      <c r="A621" t="inlineStr">
        <is>
          <t>A 34982-2022</t>
        </is>
      </c>
      <c r="B621" s="1" t="n">
        <v>44796.69055555556</v>
      </c>
      <c r="C621" s="1" t="n">
        <v>45962</v>
      </c>
      <c r="D621" t="inlineStr">
        <is>
          <t>SKÅNE LÄN</t>
        </is>
      </c>
      <c r="E621" t="inlineStr">
        <is>
          <t>HÄSSLEHOLM</t>
        </is>
      </c>
      <c r="F621" t="inlineStr">
        <is>
          <t>Kyrkan</t>
        </is>
      </c>
      <c r="G621" t="n">
        <v>3.4</v>
      </c>
      <c r="H621" t="n">
        <v>0</v>
      </c>
      <c r="I621" t="n">
        <v>0</v>
      </c>
      <c r="J621" t="n">
        <v>0</v>
      </c>
      <c r="K621" t="n">
        <v>0</v>
      </c>
      <c r="L621" t="n">
        <v>0</v>
      </c>
      <c r="M621" t="n">
        <v>0</v>
      </c>
      <c r="N621" t="n">
        <v>0</v>
      </c>
      <c r="O621" t="n">
        <v>0</v>
      </c>
      <c r="P621" t="n">
        <v>0</v>
      </c>
      <c r="Q621" t="n">
        <v>0</v>
      </c>
      <c r="R621" s="2" t="inlineStr"/>
    </row>
    <row r="622" ht="15" customHeight="1">
      <c r="A622" t="inlineStr">
        <is>
          <t>A 2045-2022</t>
        </is>
      </c>
      <c r="B622" s="1" t="n">
        <v>44575</v>
      </c>
      <c r="C622" s="1" t="n">
        <v>45962</v>
      </c>
      <c r="D622" t="inlineStr">
        <is>
          <t>SKÅNE LÄN</t>
        </is>
      </c>
      <c r="E622" t="inlineStr">
        <is>
          <t>KLIPPAN</t>
        </is>
      </c>
      <c r="F622" t="inlineStr">
        <is>
          <t>Sveaskog</t>
        </is>
      </c>
      <c r="G622" t="n">
        <v>0.5</v>
      </c>
      <c r="H622" t="n">
        <v>0</v>
      </c>
      <c r="I622" t="n">
        <v>0</v>
      </c>
      <c r="J622" t="n">
        <v>0</v>
      </c>
      <c r="K622" t="n">
        <v>0</v>
      </c>
      <c r="L622" t="n">
        <v>0</v>
      </c>
      <c r="M622" t="n">
        <v>0</v>
      </c>
      <c r="N622" t="n">
        <v>0</v>
      </c>
      <c r="O622" t="n">
        <v>0</v>
      </c>
      <c r="P622" t="n">
        <v>0</v>
      </c>
      <c r="Q622" t="n">
        <v>0</v>
      </c>
      <c r="R622" s="2" t="inlineStr"/>
    </row>
    <row r="623" ht="15" customHeight="1">
      <c r="A623" t="inlineStr">
        <is>
          <t>A 37170-2022</t>
        </is>
      </c>
      <c r="B623" s="1" t="n">
        <v>44806.61038194445</v>
      </c>
      <c r="C623" s="1" t="n">
        <v>45962</v>
      </c>
      <c r="D623" t="inlineStr">
        <is>
          <t>SKÅNE LÄN</t>
        </is>
      </c>
      <c r="E623" t="inlineStr">
        <is>
          <t>HÄSSLEHOLM</t>
        </is>
      </c>
      <c r="F623" t="inlineStr">
        <is>
          <t>Kyrkan</t>
        </is>
      </c>
      <c r="G623" t="n">
        <v>4.5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45962</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38632-2022</t>
        </is>
      </c>
      <c r="B625" s="1" t="n">
        <v>44813.64327546296</v>
      </c>
      <c r="C625" s="1" t="n">
        <v>45962</v>
      </c>
      <c r="D625" t="inlineStr">
        <is>
          <t>SKÅNE LÄN</t>
        </is>
      </c>
      <c r="E625" t="inlineStr">
        <is>
          <t>OSBY</t>
        </is>
      </c>
      <c r="F625" t="inlineStr">
        <is>
          <t>Kyrkan</t>
        </is>
      </c>
      <c r="G625" t="n">
        <v>2.2</v>
      </c>
      <c r="H625" t="n">
        <v>0</v>
      </c>
      <c r="I625" t="n">
        <v>0</v>
      </c>
      <c r="J625" t="n">
        <v>0</v>
      </c>
      <c r="K625" t="n">
        <v>0</v>
      </c>
      <c r="L625" t="n">
        <v>0</v>
      </c>
      <c r="M625" t="n">
        <v>0</v>
      </c>
      <c r="N625" t="n">
        <v>0</v>
      </c>
      <c r="O625" t="n">
        <v>0</v>
      </c>
      <c r="P625" t="n">
        <v>0</v>
      </c>
      <c r="Q625" t="n">
        <v>0</v>
      </c>
      <c r="R625" s="2" t="inlineStr"/>
    </row>
    <row r="626" ht="15" customHeight="1">
      <c r="A626" t="inlineStr">
        <is>
          <t>A 38647-2022</t>
        </is>
      </c>
      <c r="B626" s="1" t="n">
        <v>44813.66496527778</v>
      </c>
      <c r="C626" s="1" t="n">
        <v>45962</v>
      </c>
      <c r="D626" t="inlineStr">
        <is>
          <t>SKÅNE LÄN</t>
        </is>
      </c>
      <c r="E626" t="inlineStr">
        <is>
          <t>OSBY</t>
        </is>
      </c>
      <c r="F626" t="inlineStr">
        <is>
          <t>Kyrkan</t>
        </is>
      </c>
      <c r="G626" t="n">
        <v>0.5</v>
      </c>
      <c r="H626" t="n">
        <v>0</v>
      </c>
      <c r="I626" t="n">
        <v>0</v>
      </c>
      <c r="J626" t="n">
        <v>0</v>
      </c>
      <c r="K626" t="n">
        <v>0</v>
      </c>
      <c r="L626" t="n">
        <v>0</v>
      </c>
      <c r="M626" t="n">
        <v>0</v>
      </c>
      <c r="N626" t="n">
        <v>0</v>
      </c>
      <c r="O626" t="n">
        <v>0</v>
      </c>
      <c r="P626" t="n">
        <v>0</v>
      </c>
      <c r="Q626" t="n">
        <v>0</v>
      </c>
      <c r="R626" s="2" t="inlineStr"/>
    </row>
    <row r="627" ht="15" customHeight="1">
      <c r="A627" t="inlineStr">
        <is>
          <t>A 68838-2020</t>
        </is>
      </c>
      <c r="B627" s="1" t="n">
        <v>44186</v>
      </c>
      <c r="C627" s="1" t="n">
        <v>45962</v>
      </c>
      <c r="D627" t="inlineStr">
        <is>
          <t>SKÅNE LÄN</t>
        </is>
      </c>
      <c r="E627" t="inlineStr">
        <is>
          <t>ESLÖV</t>
        </is>
      </c>
      <c r="G627" t="n">
        <v>0.9</v>
      </c>
      <c r="H627" t="n">
        <v>0</v>
      </c>
      <c r="I627" t="n">
        <v>0</v>
      </c>
      <c r="J627" t="n">
        <v>0</v>
      </c>
      <c r="K627" t="n">
        <v>0</v>
      </c>
      <c r="L627" t="n">
        <v>0</v>
      </c>
      <c r="M627" t="n">
        <v>0</v>
      </c>
      <c r="N627" t="n">
        <v>0</v>
      </c>
      <c r="O627" t="n">
        <v>0</v>
      </c>
      <c r="P627" t="n">
        <v>0</v>
      </c>
      <c r="Q627" t="n">
        <v>0</v>
      </c>
      <c r="R627" s="2" t="inlineStr"/>
    </row>
    <row r="628" ht="15" customHeight="1">
      <c r="A628" t="inlineStr">
        <is>
          <t>A 55425-2022</t>
        </is>
      </c>
      <c r="B628" s="1" t="n">
        <v>44887.60577546297</v>
      </c>
      <c r="C628" s="1" t="n">
        <v>45962</v>
      </c>
      <c r="D628" t="inlineStr">
        <is>
          <t>SKÅNE LÄN</t>
        </is>
      </c>
      <c r="E628" t="inlineStr">
        <is>
          <t>HÄSSLEHOLM</t>
        </is>
      </c>
      <c r="G628" t="n">
        <v>0.5</v>
      </c>
      <c r="H628" t="n">
        <v>0</v>
      </c>
      <c r="I628" t="n">
        <v>0</v>
      </c>
      <c r="J628" t="n">
        <v>0</v>
      </c>
      <c r="K628" t="n">
        <v>0</v>
      </c>
      <c r="L628" t="n">
        <v>0</v>
      </c>
      <c r="M628" t="n">
        <v>0</v>
      </c>
      <c r="N628" t="n">
        <v>0</v>
      </c>
      <c r="O628" t="n">
        <v>0</v>
      </c>
      <c r="P628" t="n">
        <v>0</v>
      </c>
      <c r="Q628" t="n">
        <v>0</v>
      </c>
      <c r="R628" s="2" t="inlineStr"/>
    </row>
    <row r="629" ht="15" customHeight="1">
      <c r="A629" t="inlineStr">
        <is>
          <t>A 68487-2021</t>
        </is>
      </c>
      <c r="B629" s="1" t="n">
        <v>44529.45037037037</v>
      </c>
      <c r="C629" s="1" t="n">
        <v>45962</v>
      </c>
      <c r="D629" t="inlineStr">
        <is>
          <t>SKÅNE LÄN</t>
        </is>
      </c>
      <c r="E629" t="inlineStr">
        <is>
          <t>OSBY</t>
        </is>
      </c>
      <c r="G629" t="n">
        <v>0.6</v>
      </c>
      <c r="H629" t="n">
        <v>0</v>
      </c>
      <c r="I629" t="n">
        <v>0</v>
      </c>
      <c r="J629" t="n">
        <v>0</v>
      </c>
      <c r="K629" t="n">
        <v>0</v>
      </c>
      <c r="L629" t="n">
        <v>0</v>
      </c>
      <c r="M629" t="n">
        <v>0</v>
      </c>
      <c r="N629" t="n">
        <v>0</v>
      </c>
      <c r="O629" t="n">
        <v>0</v>
      </c>
      <c r="P629" t="n">
        <v>0</v>
      </c>
      <c r="Q629" t="n">
        <v>0</v>
      </c>
      <c r="R629" s="2" t="inlineStr"/>
    </row>
    <row r="630" ht="15" customHeight="1">
      <c r="A630" t="inlineStr">
        <is>
          <t>A 43663-2022</t>
        </is>
      </c>
      <c r="B630" s="1" t="n">
        <v>44837</v>
      </c>
      <c r="C630" s="1" t="n">
        <v>45962</v>
      </c>
      <c r="D630" t="inlineStr">
        <is>
          <t>SKÅNE LÄN</t>
        </is>
      </c>
      <c r="E630" t="inlineStr">
        <is>
          <t>KRISTIANSTAD</t>
        </is>
      </c>
      <c r="F630" t="inlineStr">
        <is>
          <t>Övriga Aktiebolag</t>
        </is>
      </c>
      <c r="G630" t="n">
        <v>0.6</v>
      </c>
      <c r="H630" t="n">
        <v>0</v>
      </c>
      <c r="I630" t="n">
        <v>0</v>
      </c>
      <c r="J630" t="n">
        <v>0</v>
      </c>
      <c r="K630" t="n">
        <v>0</v>
      </c>
      <c r="L630" t="n">
        <v>0</v>
      </c>
      <c r="M630" t="n">
        <v>0</v>
      </c>
      <c r="N630" t="n">
        <v>0</v>
      </c>
      <c r="O630" t="n">
        <v>0</v>
      </c>
      <c r="P630" t="n">
        <v>0</v>
      </c>
      <c r="Q630" t="n">
        <v>0</v>
      </c>
      <c r="R630" s="2" t="inlineStr"/>
    </row>
    <row r="631" ht="15" customHeight="1">
      <c r="A631" t="inlineStr">
        <is>
          <t>A 3594-2021</t>
        </is>
      </c>
      <c r="B631" s="1" t="n">
        <v>44220</v>
      </c>
      <c r="C631" s="1" t="n">
        <v>45962</v>
      </c>
      <c r="D631" t="inlineStr">
        <is>
          <t>SKÅNE LÄN</t>
        </is>
      </c>
      <c r="E631" t="inlineStr">
        <is>
          <t>SVALÖV</t>
        </is>
      </c>
      <c r="G631" t="n">
        <v>4.4</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45962</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45962</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45968-2022</t>
        </is>
      </c>
      <c r="B634" s="1" t="n">
        <v>44846.67469907407</v>
      </c>
      <c r="C634" s="1" t="n">
        <v>45962</v>
      </c>
      <c r="D634" t="inlineStr">
        <is>
          <t>SKÅNE LÄN</t>
        </is>
      </c>
      <c r="E634" t="inlineStr">
        <is>
          <t>ÖRKELLJUNGA</t>
        </is>
      </c>
      <c r="G634" t="n">
        <v>1.2</v>
      </c>
      <c r="H634" t="n">
        <v>0</v>
      </c>
      <c r="I634" t="n">
        <v>0</v>
      </c>
      <c r="J634" t="n">
        <v>0</v>
      </c>
      <c r="K634" t="n">
        <v>0</v>
      </c>
      <c r="L634" t="n">
        <v>0</v>
      </c>
      <c r="M634" t="n">
        <v>0</v>
      </c>
      <c r="N634" t="n">
        <v>0</v>
      </c>
      <c r="O634" t="n">
        <v>0</v>
      </c>
      <c r="P634" t="n">
        <v>0</v>
      </c>
      <c r="Q634" t="n">
        <v>0</v>
      </c>
      <c r="R634" s="2" t="inlineStr"/>
    </row>
    <row r="635" ht="15" customHeight="1">
      <c r="A635" t="inlineStr">
        <is>
          <t>A 69103-2020</t>
        </is>
      </c>
      <c r="B635" s="1" t="n">
        <v>44188</v>
      </c>
      <c r="C635" s="1" t="n">
        <v>45962</v>
      </c>
      <c r="D635" t="inlineStr">
        <is>
          <t>SKÅNE LÄN</t>
        </is>
      </c>
      <c r="E635" t="inlineStr">
        <is>
          <t>HÄSSLEHOLM</t>
        </is>
      </c>
      <c r="G635" t="n">
        <v>0.6</v>
      </c>
      <c r="H635" t="n">
        <v>0</v>
      </c>
      <c r="I635" t="n">
        <v>0</v>
      </c>
      <c r="J635" t="n">
        <v>0</v>
      </c>
      <c r="K635" t="n">
        <v>0</v>
      </c>
      <c r="L635" t="n">
        <v>0</v>
      </c>
      <c r="M635" t="n">
        <v>0</v>
      </c>
      <c r="N635" t="n">
        <v>0</v>
      </c>
      <c r="O635" t="n">
        <v>0</v>
      </c>
      <c r="P635" t="n">
        <v>0</v>
      </c>
      <c r="Q635" t="n">
        <v>0</v>
      </c>
      <c r="R635" s="2" t="inlineStr"/>
    </row>
    <row r="636" ht="15" customHeight="1">
      <c r="A636" t="inlineStr">
        <is>
          <t>A 65760-2020</t>
        </is>
      </c>
      <c r="B636" s="1" t="n">
        <v>44174</v>
      </c>
      <c r="C636" s="1" t="n">
        <v>45962</v>
      </c>
      <c r="D636" t="inlineStr">
        <is>
          <t>SKÅNE LÄN</t>
        </is>
      </c>
      <c r="E636" t="inlineStr">
        <is>
          <t>ÖSTRA GÖINGE</t>
        </is>
      </c>
      <c r="G636" t="n">
        <v>0.7</v>
      </c>
      <c r="H636" t="n">
        <v>0</v>
      </c>
      <c r="I636" t="n">
        <v>0</v>
      </c>
      <c r="J636" t="n">
        <v>0</v>
      </c>
      <c r="K636" t="n">
        <v>0</v>
      </c>
      <c r="L636" t="n">
        <v>0</v>
      </c>
      <c r="M636" t="n">
        <v>0</v>
      </c>
      <c r="N636" t="n">
        <v>0</v>
      </c>
      <c r="O636" t="n">
        <v>0</v>
      </c>
      <c r="P636" t="n">
        <v>0</v>
      </c>
      <c r="Q636" t="n">
        <v>0</v>
      </c>
      <c r="R636" s="2" t="inlineStr"/>
    </row>
    <row r="637" ht="15" customHeight="1">
      <c r="A637" t="inlineStr">
        <is>
          <t>A 3447-2021</t>
        </is>
      </c>
      <c r="B637" s="1" t="n">
        <v>44218</v>
      </c>
      <c r="C637" s="1" t="n">
        <v>45962</v>
      </c>
      <c r="D637" t="inlineStr">
        <is>
          <t>SKÅNE LÄN</t>
        </is>
      </c>
      <c r="E637" t="inlineStr">
        <is>
          <t>HÄSSLEHOLM</t>
        </is>
      </c>
      <c r="G637" t="n">
        <v>3.9</v>
      </c>
      <c r="H637" t="n">
        <v>0</v>
      </c>
      <c r="I637" t="n">
        <v>0</v>
      </c>
      <c r="J637" t="n">
        <v>0</v>
      </c>
      <c r="K637" t="n">
        <v>0</v>
      </c>
      <c r="L637" t="n">
        <v>0</v>
      </c>
      <c r="M637" t="n">
        <v>0</v>
      </c>
      <c r="N637" t="n">
        <v>0</v>
      </c>
      <c r="O637" t="n">
        <v>0</v>
      </c>
      <c r="P637" t="n">
        <v>0</v>
      </c>
      <c r="Q637" t="n">
        <v>0</v>
      </c>
      <c r="R637" s="2" t="inlineStr"/>
    </row>
    <row r="638" ht="15" customHeight="1">
      <c r="A638" t="inlineStr">
        <is>
          <t>A 4933-2021</t>
        </is>
      </c>
      <c r="B638" s="1" t="n">
        <v>44227</v>
      </c>
      <c r="C638" s="1" t="n">
        <v>45962</v>
      </c>
      <c r="D638" t="inlineStr">
        <is>
          <t>SKÅNE LÄN</t>
        </is>
      </c>
      <c r="E638" t="inlineStr">
        <is>
          <t>ÄNGELHOLM</t>
        </is>
      </c>
      <c r="G638" t="n">
        <v>1.9</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45962</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9100-2021</t>
        </is>
      </c>
      <c r="B640" s="1" t="n">
        <v>44249</v>
      </c>
      <c r="C640" s="1" t="n">
        <v>45962</v>
      </c>
      <c r="D640" t="inlineStr">
        <is>
          <t>SKÅNE LÄN</t>
        </is>
      </c>
      <c r="E640" t="inlineStr">
        <is>
          <t>OSBY</t>
        </is>
      </c>
      <c r="G640" t="n">
        <v>1.4</v>
      </c>
      <c r="H640" t="n">
        <v>0</v>
      </c>
      <c r="I640" t="n">
        <v>0</v>
      </c>
      <c r="J640" t="n">
        <v>0</v>
      </c>
      <c r="K640" t="n">
        <v>0</v>
      </c>
      <c r="L640" t="n">
        <v>0</v>
      </c>
      <c r="M640" t="n">
        <v>0</v>
      </c>
      <c r="N640" t="n">
        <v>0</v>
      </c>
      <c r="O640" t="n">
        <v>0</v>
      </c>
      <c r="P640" t="n">
        <v>0</v>
      </c>
      <c r="Q640" t="n">
        <v>0</v>
      </c>
      <c r="R640" s="2" t="inlineStr"/>
    </row>
    <row r="641" ht="15" customHeight="1">
      <c r="A641" t="inlineStr">
        <is>
          <t>A 22320-2021</t>
        </is>
      </c>
      <c r="B641" s="1" t="n">
        <v>44323</v>
      </c>
      <c r="C641" s="1" t="n">
        <v>45962</v>
      </c>
      <c r="D641" t="inlineStr">
        <is>
          <t>SKÅNE LÄN</t>
        </is>
      </c>
      <c r="E641" t="inlineStr">
        <is>
          <t>HÄSSLEHOLM</t>
        </is>
      </c>
      <c r="G641" t="n">
        <v>0.9</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45962</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45962</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45962</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45962</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45962</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27817-2021</t>
        </is>
      </c>
      <c r="B647" s="1" t="n">
        <v>44354</v>
      </c>
      <c r="C647" s="1" t="n">
        <v>45962</v>
      </c>
      <c r="D647" t="inlineStr">
        <is>
          <t>SKÅNE LÄN</t>
        </is>
      </c>
      <c r="E647" t="inlineStr">
        <is>
          <t>HÖRBY</t>
        </is>
      </c>
      <c r="G647" t="n">
        <v>3.2</v>
      </c>
      <c r="H647" t="n">
        <v>0</v>
      </c>
      <c r="I647" t="n">
        <v>0</v>
      </c>
      <c r="J647" t="n">
        <v>0</v>
      </c>
      <c r="K647" t="n">
        <v>0</v>
      </c>
      <c r="L647" t="n">
        <v>0</v>
      </c>
      <c r="M647" t="n">
        <v>0</v>
      </c>
      <c r="N647" t="n">
        <v>0</v>
      </c>
      <c r="O647" t="n">
        <v>0</v>
      </c>
      <c r="P647" t="n">
        <v>0</v>
      </c>
      <c r="Q647" t="n">
        <v>0</v>
      </c>
      <c r="R647" s="2" t="inlineStr"/>
    </row>
    <row r="648" ht="15" customHeight="1">
      <c r="A648" t="inlineStr">
        <is>
          <t>A 7258-2022</t>
        </is>
      </c>
      <c r="B648" s="1" t="n">
        <v>44606</v>
      </c>
      <c r="C648" s="1" t="n">
        <v>45962</v>
      </c>
      <c r="D648" t="inlineStr">
        <is>
          <t>SKÅNE LÄN</t>
        </is>
      </c>
      <c r="E648" t="inlineStr">
        <is>
          <t>SIMRISHAMN</t>
        </is>
      </c>
      <c r="G648" t="n">
        <v>1</v>
      </c>
      <c r="H648" t="n">
        <v>0</v>
      </c>
      <c r="I648" t="n">
        <v>0</v>
      </c>
      <c r="J648" t="n">
        <v>0</v>
      </c>
      <c r="K648" t="n">
        <v>0</v>
      </c>
      <c r="L648" t="n">
        <v>0</v>
      </c>
      <c r="M648" t="n">
        <v>0</v>
      </c>
      <c r="N648" t="n">
        <v>0</v>
      </c>
      <c r="O648" t="n">
        <v>0</v>
      </c>
      <c r="P648" t="n">
        <v>0</v>
      </c>
      <c r="Q648" t="n">
        <v>0</v>
      </c>
      <c r="R648" s="2" t="inlineStr"/>
    </row>
    <row r="649" ht="15" customHeight="1">
      <c r="A649" t="inlineStr">
        <is>
          <t>A 10013-2021</t>
        </is>
      </c>
      <c r="B649" s="1" t="n">
        <v>44253</v>
      </c>
      <c r="C649" s="1" t="n">
        <v>45962</v>
      </c>
      <c r="D649" t="inlineStr">
        <is>
          <t>SKÅNE LÄN</t>
        </is>
      </c>
      <c r="E649" t="inlineStr">
        <is>
          <t>HÖÖR</t>
        </is>
      </c>
      <c r="G649" t="n">
        <v>4.9</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45962</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45962</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2770-2021</t>
        </is>
      </c>
      <c r="B652" s="1" t="n">
        <v>44215</v>
      </c>
      <c r="C652" s="1" t="n">
        <v>45962</v>
      </c>
      <c r="D652" t="inlineStr">
        <is>
          <t>SKÅNE LÄN</t>
        </is>
      </c>
      <c r="E652" t="inlineStr">
        <is>
          <t>ÖRKELLJUNGA</t>
        </is>
      </c>
      <c r="G652" t="n">
        <v>0.9</v>
      </c>
      <c r="H652" t="n">
        <v>0</v>
      </c>
      <c r="I652" t="n">
        <v>0</v>
      </c>
      <c r="J652" t="n">
        <v>0</v>
      </c>
      <c r="K652" t="n">
        <v>0</v>
      </c>
      <c r="L652" t="n">
        <v>0</v>
      </c>
      <c r="M652" t="n">
        <v>0</v>
      </c>
      <c r="N652" t="n">
        <v>0</v>
      </c>
      <c r="O652" t="n">
        <v>0</v>
      </c>
      <c r="P652" t="n">
        <v>0</v>
      </c>
      <c r="Q652" t="n">
        <v>0</v>
      </c>
      <c r="R652" s="2" t="inlineStr"/>
    </row>
    <row r="653" ht="15" customHeight="1">
      <c r="A653" t="inlineStr">
        <is>
          <t>A 58595-2020</t>
        </is>
      </c>
      <c r="B653" s="1" t="n">
        <v>44145.65677083333</v>
      </c>
      <c r="C653" s="1" t="n">
        <v>45962</v>
      </c>
      <c r="D653" t="inlineStr">
        <is>
          <t>SKÅNE LÄN</t>
        </is>
      </c>
      <c r="E653" t="inlineStr">
        <is>
          <t>HÖRBY</t>
        </is>
      </c>
      <c r="G653" t="n">
        <v>0.6</v>
      </c>
      <c r="H653" t="n">
        <v>0</v>
      </c>
      <c r="I653" t="n">
        <v>0</v>
      </c>
      <c r="J653" t="n">
        <v>0</v>
      </c>
      <c r="K653" t="n">
        <v>0</v>
      </c>
      <c r="L653" t="n">
        <v>0</v>
      </c>
      <c r="M653" t="n">
        <v>0</v>
      </c>
      <c r="N653" t="n">
        <v>0</v>
      </c>
      <c r="O653" t="n">
        <v>0</v>
      </c>
      <c r="P653" t="n">
        <v>0</v>
      </c>
      <c r="Q653" t="n">
        <v>0</v>
      </c>
      <c r="R653" s="2" t="inlineStr"/>
    </row>
    <row r="654" ht="15" customHeight="1">
      <c r="A654" t="inlineStr">
        <is>
          <t>A 18872-2022</t>
        </is>
      </c>
      <c r="B654" s="1" t="n">
        <v>44690</v>
      </c>
      <c r="C654" s="1" t="n">
        <v>45962</v>
      </c>
      <c r="D654" t="inlineStr">
        <is>
          <t>SKÅNE LÄN</t>
        </is>
      </c>
      <c r="E654" t="inlineStr">
        <is>
          <t>ESLÖV</t>
        </is>
      </c>
      <c r="G654" t="n">
        <v>1.4</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45962</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55364-2022</t>
        </is>
      </c>
      <c r="B656" s="1" t="n">
        <v>44887.50657407408</v>
      </c>
      <c r="C656" s="1" t="n">
        <v>45962</v>
      </c>
      <c r="D656" t="inlineStr">
        <is>
          <t>SKÅNE LÄN</t>
        </is>
      </c>
      <c r="E656" t="inlineStr">
        <is>
          <t>HÄSSLEHOLM</t>
        </is>
      </c>
      <c r="G656" t="n">
        <v>0.4</v>
      </c>
      <c r="H656" t="n">
        <v>0</v>
      </c>
      <c r="I656" t="n">
        <v>0</v>
      </c>
      <c r="J656" t="n">
        <v>0</v>
      </c>
      <c r="K656" t="n">
        <v>0</v>
      </c>
      <c r="L656" t="n">
        <v>0</v>
      </c>
      <c r="M656" t="n">
        <v>0</v>
      </c>
      <c r="N656" t="n">
        <v>0</v>
      </c>
      <c r="O656" t="n">
        <v>0</v>
      </c>
      <c r="P656" t="n">
        <v>0</v>
      </c>
      <c r="Q656" t="n">
        <v>0</v>
      </c>
      <c r="R656" s="2" t="inlineStr"/>
    </row>
    <row r="657" ht="15" customHeight="1">
      <c r="A657" t="inlineStr">
        <is>
          <t>A 8278-2021</t>
        </is>
      </c>
      <c r="B657" s="1" t="n">
        <v>44244</v>
      </c>
      <c r="C657" s="1" t="n">
        <v>45962</v>
      </c>
      <c r="D657" t="inlineStr">
        <is>
          <t>SKÅNE LÄN</t>
        </is>
      </c>
      <c r="E657" t="inlineStr">
        <is>
          <t>HÄSSLEHOLM</t>
        </is>
      </c>
      <c r="F657" t="inlineStr">
        <is>
          <t>Kyrkan</t>
        </is>
      </c>
      <c r="G657" t="n">
        <v>1.4</v>
      </c>
      <c r="H657" t="n">
        <v>0</v>
      </c>
      <c r="I657" t="n">
        <v>0</v>
      </c>
      <c r="J657" t="n">
        <v>0</v>
      </c>
      <c r="K657" t="n">
        <v>0</v>
      </c>
      <c r="L657" t="n">
        <v>0</v>
      </c>
      <c r="M657" t="n">
        <v>0</v>
      </c>
      <c r="N657" t="n">
        <v>0</v>
      </c>
      <c r="O657" t="n">
        <v>0</v>
      </c>
      <c r="P657" t="n">
        <v>0</v>
      </c>
      <c r="Q657" t="n">
        <v>0</v>
      </c>
      <c r="R657" s="2" t="inlineStr"/>
    </row>
    <row r="658" ht="15" customHeight="1">
      <c r="A658" t="inlineStr">
        <is>
          <t>A 69201-2020</t>
        </is>
      </c>
      <c r="B658" s="1" t="n">
        <v>44191</v>
      </c>
      <c r="C658" s="1" t="n">
        <v>45962</v>
      </c>
      <c r="D658" t="inlineStr">
        <is>
          <t>SKÅNE LÄN</t>
        </is>
      </c>
      <c r="E658" t="inlineStr">
        <is>
          <t>HÄSSLEHOLM</t>
        </is>
      </c>
      <c r="G658" t="n">
        <v>0.6</v>
      </c>
      <c r="H658" t="n">
        <v>0</v>
      </c>
      <c r="I658" t="n">
        <v>0</v>
      </c>
      <c r="J658" t="n">
        <v>0</v>
      </c>
      <c r="K658" t="n">
        <v>0</v>
      </c>
      <c r="L658" t="n">
        <v>0</v>
      </c>
      <c r="M658" t="n">
        <v>0</v>
      </c>
      <c r="N658" t="n">
        <v>0</v>
      </c>
      <c r="O658" t="n">
        <v>0</v>
      </c>
      <c r="P658" t="n">
        <v>0</v>
      </c>
      <c r="Q658" t="n">
        <v>0</v>
      </c>
      <c r="R658" s="2" t="inlineStr"/>
    </row>
    <row r="659" ht="15" customHeight="1">
      <c r="A659" t="inlineStr">
        <is>
          <t>A 14054-2021</t>
        </is>
      </c>
      <c r="B659" s="1" t="n">
        <v>44277</v>
      </c>
      <c r="C659" s="1" t="n">
        <v>45962</v>
      </c>
      <c r="D659" t="inlineStr">
        <is>
          <t>SKÅNE LÄN</t>
        </is>
      </c>
      <c r="E659" t="inlineStr">
        <is>
          <t>HÄSSLEHOLM</t>
        </is>
      </c>
      <c r="G659" t="n">
        <v>2</v>
      </c>
      <c r="H659" t="n">
        <v>0</v>
      </c>
      <c r="I659" t="n">
        <v>0</v>
      </c>
      <c r="J659" t="n">
        <v>0</v>
      </c>
      <c r="K659" t="n">
        <v>0</v>
      </c>
      <c r="L659" t="n">
        <v>0</v>
      </c>
      <c r="M659" t="n">
        <v>0</v>
      </c>
      <c r="N659" t="n">
        <v>0</v>
      </c>
      <c r="O659" t="n">
        <v>0</v>
      </c>
      <c r="P659" t="n">
        <v>0</v>
      </c>
      <c r="Q659" t="n">
        <v>0</v>
      </c>
      <c r="R659" s="2" t="inlineStr"/>
    </row>
    <row r="660" ht="15" customHeight="1">
      <c r="A660" t="inlineStr">
        <is>
          <t>A 10805-2022</t>
        </is>
      </c>
      <c r="B660" s="1" t="n">
        <v>44627</v>
      </c>
      <c r="C660" s="1" t="n">
        <v>45962</v>
      </c>
      <c r="D660" t="inlineStr">
        <is>
          <t>SKÅNE LÄN</t>
        </is>
      </c>
      <c r="E660" t="inlineStr">
        <is>
          <t>KRISTIANSTAD</t>
        </is>
      </c>
      <c r="G660" t="n">
        <v>3.2</v>
      </c>
      <c r="H660" t="n">
        <v>0</v>
      </c>
      <c r="I660" t="n">
        <v>0</v>
      </c>
      <c r="J660" t="n">
        <v>0</v>
      </c>
      <c r="K660" t="n">
        <v>0</v>
      </c>
      <c r="L660" t="n">
        <v>0</v>
      </c>
      <c r="M660" t="n">
        <v>0</v>
      </c>
      <c r="N660" t="n">
        <v>0</v>
      </c>
      <c r="O660" t="n">
        <v>0</v>
      </c>
      <c r="P660" t="n">
        <v>0</v>
      </c>
      <c r="Q660" t="n">
        <v>0</v>
      </c>
      <c r="R660" s="2" t="inlineStr"/>
    </row>
    <row r="661" ht="15" customHeight="1">
      <c r="A661" t="inlineStr">
        <is>
          <t>A 68402-2020</t>
        </is>
      </c>
      <c r="B661" s="1" t="n">
        <v>44186</v>
      </c>
      <c r="C661" s="1" t="n">
        <v>45962</v>
      </c>
      <c r="D661" t="inlineStr">
        <is>
          <t>SKÅNE LÄN</t>
        </is>
      </c>
      <c r="E661" t="inlineStr">
        <is>
          <t>OSBY</t>
        </is>
      </c>
      <c r="G661" t="n">
        <v>2</v>
      </c>
      <c r="H661" t="n">
        <v>0</v>
      </c>
      <c r="I661" t="n">
        <v>0</v>
      </c>
      <c r="J661" t="n">
        <v>0</v>
      </c>
      <c r="K661" t="n">
        <v>0</v>
      </c>
      <c r="L661" t="n">
        <v>0</v>
      </c>
      <c r="M661" t="n">
        <v>0</v>
      </c>
      <c r="N661" t="n">
        <v>0</v>
      </c>
      <c r="O661" t="n">
        <v>0</v>
      </c>
      <c r="P661" t="n">
        <v>0</v>
      </c>
      <c r="Q661" t="n">
        <v>0</v>
      </c>
      <c r="R661" s="2" t="inlineStr"/>
    </row>
    <row r="662" ht="15" customHeight="1">
      <c r="A662" t="inlineStr">
        <is>
          <t>A 46190-2021</t>
        </is>
      </c>
      <c r="B662" s="1" t="n">
        <v>44442</v>
      </c>
      <c r="C662" s="1" t="n">
        <v>45962</v>
      </c>
      <c r="D662" t="inlineStr">
        <is>
          <t>SKÅNE LÄN</t>
        </is>
      </c>
      <c r="E662" t="inlineStr">
        <is>
          <t>KRISTIANSTAD</t>
        </is>
      </c>
      <c r="F662" t="inlineStr">
        <is>
          <t>Sveaskog</t>
        </is>
      </c>
      <c r="G662" t="n">
        <v>0.7</v>
      </c>
      <c r="H662" t="n">
        <v>0</v>
      </c>
      <c r="I662" t="n">
        <v>0</v>
      </c>
      <c r="J662" t="n">
        <v>0</v>
      </c>
      <c r="K662" t="n">
        <v>0</v>
      </c>
      <c r="L662" t="n">
        <v>0</v>
      </c>
      <c r="M662" t="n">
        <v>0</v>
      </c>
      <c r="N662" t="n">
        <v>0</v>
      </c>
      <c r="O662" t="n">
        <v>0</v>
      </c>
      <c r="P662" t="n">
        <v>0</v>
      </c>
      <c r="Q662" t="n">
        <v>0</v>
      </c>
      <c r="R662" s="2" t="inlineStr"/>
    </row>
    <row r="663" ht="15" customHeight="1">
      <c r="A663" t="inlineStr">
        <is>
          <t>A 53582-2022</t>
        </is>
      </c>
      <c r="B663" s="1" t="n">
        <v>44875</v>
      </c>
      <c r="C663" s="1" t="n">
        <v>45962</v>
      </c>
      <c r="D663" t="inlineStr">
        <is>
          <t>SKÅNE LÄN</t>
        </is>
      </c>
      <c r="E663" t="inlineStr">
        <is>
          <t>KLIPPAN</t>
        </is>
      </c>
      <c r="F663" t="inlineStr">
        <is>
          <t>Övriga Aktiebolag</t>
        </is>
      </c>
      <c r="G663" t="n">
        <v>2.1</v>
      </c>
      <c r="H663" t="n">
        <v>0</v>
      </c>
      <c r="I663" t="n">
        <v>0</v>
      </c>
      <c r="J663" t="n">
        <v>0</v>
      </c>
      <c r="K663" t="n">
        <v>0</v>
      </c>
      <c r="L663" t="n">
        <v>0</v>
      </c>
      <c r="M663" t="n">
        <v>0</v>
      </c>
      <c r="N663" t="n">
        <v>0</v>
      </c>
      <c r="O663" t="n">
        <v>0</v>
      </c>
      <c r="P663" t="n">
        <v>0</v>
      </c>
      <c r="Q663" t="n">
        <v>0</v>
      </c>
      <c r="R663" s="2" t="inlineStr"/>
    </row>
    <row r="664" ht="15" customHeight="1">
      <c r="A664" t="inlineStr">
        <is>
          <t>A 14095-2021</t>
        </is>
      </c>
      <c r="B664" s="1" t="n">
        <v>44278</v>
      </c>
      <c r="C664" s="1" t="n">
        <v>45962</v>
      </c>
      <c r="D664" t="inlineStr">
        <is>
          <t>SKÅNE LÄN</t>
        </is>
      </c>
      <c r="E664" t="inlineStr">
        <is>
          <t>SJÖBO</t>
        </is>
      </c>
      <c r="F664" t="inlineStr">
        <is>
          <t>Övriga Aktiebolag</t>
        </is>
      </c>
      <c r="G664" t="n">
        <v>6.3</v>
      </c>
      <c r="H664" t="n">
        <v>0</v>
      </c>
      <c r="I664" t="n">
        <v>0</v>
      </c>
      <c r="J664" t="n">
        <v>0</v>
      </c>
      <c r="K664" t="n">
        <v>0</v>
      </c>
      <c r="L664" t="n">
        <v>0</v>
      </c>
      <c r="M664" t="n">
        <v>0</v>
      </c>
      <c r="N664" t="n">
        <v>0</v>
      </c>
      <c r="O664" t="n">
        <v>0</v>
      </c>
      <c r="P664" t="n">
        <v>0</v>
      </c>
      <c r="Q664" t="n">
        <v>0</v>
      </c>
      <c r="R664" s="2" t="inlineStr"/>
    </row>
    <row r="665" ht="15" customHeight="1">
      <c r="A665" t="inlineStr">
        <is>
          <t>A 10055-2022</t>
        </is>
      </c>
      <c r="B665" s="1" t="n">
        <v>44621.59760416667</v>
      </c>
      <c r="C665" s="1" t="n">
        <v>45962</v>
      </c>
      <c r="D665" t="inlineStr">
        <is>
          <t>SKÅNE LÄN</t>
        </is>
      </c>
      <c r="E665" t="inlineStr">
        <is>
          <t>KLIPPAN</t>
        </is>
      </c>
      <c r="G665" t="n">
        <v>0.3</v>
      </c>
      <c r="H665" t="n">
        <v>0</v>
      </c>
      <c r="I665" t="n">
        <v>0</v>
      </c>
      <c r="J665" t="n">
        <v>0</v>
      </c>
      <c r="K665" t="n">
        <v>0</v>
      </c>
      <c r="L665" t="n">
        <v>0</v>
      </c>
      <c r="M665" t="n">
        <v>0</v>
      </c>
      <c r="N665" t="n">
        <v>0</v>
      </c>
      <c r="O665" t="n">
        <v>0</v>
      </c>
      <c r="P665" t="n">
        <v>0</v>
      </c>
      <c r="Q665" t="n">
        <v>0</v>
      </c>
      <c r="R665" s="2" t="inlineStr"/>
    </row>
    <row r="666" ht="15" customHeight="1">
      <c r="A666" t="inlineStr">
        <is>
          <t>A 9257-2021</t>
        </is>
      </c>
      <c r="B666" s="1" t="n">
        <v>44250</v>
      </c>
      <c r="C666" s="1" t="n">
        <v>45962</v>
      </c>
      <c r="D666" t="inlineStr">
        <is>
          <t>SKÅNE LÄN</t>
        </is>
      </c>
      <c r="E666" t="inlineStr">
        <is>
          <t>HÄSSLEHOLM</t>
        </is>
      </c>
      <c r="G666" t="n">
        <v>2.2</v>
      </c>
      <c r="H666" t="n">
        <v>0</v>
      </c>
      <c r="I666" t="n">
        <v>0</v>
      </c>
      <c r="J666" t="n">
        <v>0</v>
      </c>
      <c r="K666" t="n">
        <v>0</v>
      </c>
      <c r="L666" t="n">
        <v>0</v>
      </c>
      <c r="M666" t="n">
        <v>0</v>
      </c>
      <c r="N666" t="n">
        <v>0</v>
      </c>
      <c r="O666" t="n">
        <v>0</v>
      </c>
      <c r="P666" t="n">
        <v>0</v>
      </c>
      <c r="Q666" t="n">
        <v>0</v>
      </c>
      <c r="R666" s="2" t="inlineStr"/>
    </row>
    <row r="667" ht="15" customHeight="1">
      <c r="A667" t="inlineStr">
        <is>
          <t>A 16050-2021</t>
        </is>
      </c>
      <c r="B667" s="1" t="n">
        <v>44287</v>
      </c>
      <c r="C667" s="1" t="n">
        <v>45962</v>
      </c>
      <c r="D667" t="inlineStr">
        <is>
          <t>SKÅNE LÄN</t>
        </is>
      </c>
      <c r="E667" t="inlineStr">
        <is>
          <t>PERSTORP</t>
        </is>
      </c>
      <c r="G667" t="n">
        <v>0.2</v>
      </c>
      <c r="H667" t="n">
        <v>0</v>
      </c>
      <c r="I667" t="n">
        <v>0</v>
      </c>
      <c r="J667" t="n">
        <v>0</v>
      </c>
      <c r="K667" t="n">
        <v>0</v>
      </c>
      <c r="L667" t="n">
        <v>0</v>
      </c>
      <c r="M667" t="n">
        <v>0</v>
      </c>
      <c r="N667" t="n">
        <v>0</v>
      </c>
      <c r="O667" t="n">
        <v>0</v>
      </c>
      <c r="P667" t="n">
        <v>0</v>
      </c>
      <c r="Q667" t="n">
        <v>0</v>
      </c>
      <c r="R667" s="2" t="inlineStr"/>
    </row>
    <row r="668" ht="15" customHeight="1">
      <c r="A668" t="inlineStr">
        <is>
          <t>A 11212-2021</t>
        </is>
      </c>
      <c r="B668" s="1" t="n">
        <v>44263.35788194444</v>
      </c>
      <c r="C668" s="1" t="n">
        <v>45962</v>
      </c>
      <c r="D668" t="inlineStr">
        <is>
          <t>SKÅNE LÄN</t>
        </is>
      </c>
      <c r="E668" t="inlineStr">
        <is>
          <t>OSBY</t>
        </is>
      </c>
      <c r="G668" t="n">
        <v>0.5</v>
      </c>
      <c r="H668" t="n">
        <v>0</v>
      </c>
      <c r="I668" t="n">
        <v>0</v>
      </c>
      <c r="J668" t="n">
        <v>0</v>
      </c>
      <c r="K668" t="n">
        <v>0</v>
      </c>
      <c r="L668" t="n">
        <v>0</v>
      </c>
      <c r="M668" t="n">
        <v>0</v>
      </c>
      <c r="N668" t="n">
        <v>0</v>
      </c>
      <c r="O668" t="n">
        <v>0</v>
      </c>
      <c r="P668" t="n">
        <v>0</v>
      </c>
      <c r="Q668" t="n">
        <v>0</v>
      </c>
      <c r="R668" s="2" t="inlineStr"/>
    </row>
    <row r="669" ht="15" customHeight="1">
      <c r="A669" t="inlineStr">
        <is>
          <t>A 19094-2022</t>
        </is>
      </c>
      <c r="B669" s="1" t="n">
        <v>44691</v>
      </c>
      <c r="C669" s="1" t="n">
        <v>45962</v>
      </c>
      <c r="D669" t="inlineStr">
        <is>
          <t>SKÅNE LÄN</t>
        </is>
      </c>
      <c r="E669" t="inlineStr">
        <is>
          <t>KLIPPAN</t>
        </is>
      </c>
      <c r="G669" t="n">
        <v>0.6</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45962</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45962</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45962</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15007-2021</t>
        </is>
      </c>
      <c r="B673" s="1" t="n">
        <v>44281</v>
      </c>
      <c r="C673" s="1" t="n">
        <v>45962</v>
      </c>
      <c r="D673" t="inlineStr">
        <is>
          <t>SKÅNE LÄN</t>
        </is>
      </c>
      <c r="E673" t="inlineStr">
        <is>
          <t>SVALÖV</t>
        </is>
      </c>
      <c r="G673" t="n">
        <v>1.7</v>
      </c>
      <c r="H673" t="n">
        <v>0</v>
      </c>
      <c r="I673" t="n">
        <v>0</v>
      </c>
      <c r="J673" t="n">
        <v>0</v>
      </c>
      <c r="K673" t="n">
        <v>0</v>
      </c>
      <c r="L673" t="n">
        <v>0</v>
      </c>
      <c r="M673" t="n">
        <v>0</v>
      </c>
      <c r="N673" t="n">
        <v>0</v>
      </c>
      <c r="O673" t="n">
        <v>0</v>
      </c>
      <c r="P673" t="n">
        <v>0</v>
      </c>
      <c r="Q673" t="n">
        <v>0</v>
      </c>
      <c r="R673" s="2" t="inlineStr"/>
    </row>
    <row r="674" ht="15" customHeight="1">
      <c r="A674" t="inlineStr">
        <is>
          <t>A 14055-2021</t>
        </is>
      </c>
      <c r="B674" s="1" t="n">
        <v>44277.75394675926</v>
      </c>
      <c r="C674" s="1" t="n">
        <v>45962</v>
      </c>
      <c r="D674" t="inlineStr">
        <is>
          <t>SKÅNE LÄN</t>
        </is>
      </c>
      <c r="E674" t="inlineStr">
        <is>
          <t>ÖSTRA GÖINGE</t>
        </is>
      </c>
      <c r="G674" t="n">
        <v>1.6</v>
      </c>
      <c r="H674" t="n">
        <v>0</v>
      </c>
      <c r="I674" t="n">
        <v>0</v>
      </c>
      <c r="J674" t="n">
        <v>0</v>
      </c>
      <c r="K674" t="n">
        <v>0</v>
      </c>
      <c r="L674" t="n">
        <v>0</v>
      </c>
      <c r="M674" t="n">
        <v>0</v>
      </c>
      <c r="N674" t="n">
        <v>0</v>
      </c>
      <c r="O674" t="n">
        <v>0</v>
      </c>
      <c r="P674" t="n">
        <v>0</v>
      </c>
      <c r="Q674" t="n">
        <v>0</v>
      </c>
      <c r="R674" s="2" t="inlineStr"/>
    </row>
    <row r="675" ht="15" customHeight="1">
      <c r="A675" t="inlineStr">
        <is>
          <t>A 21423-2022</t>
        </is>
      </c>
      <c r="B675" s="1" t="n">
        <v>44706</v>
      </c>
      <c r="C675" s="1" t="n">
        <v>45962</v>
      </c>
      <c r="D675" t="inlineStr">
        <is>
          <t>SKÅNE LÄN</t>
        </is>
      </c>
      <c r="E675" t="inlineStr">
        <is>
          <t>SJÖBO</t>
        </is>
      </c>
      <c r="G675" t="n">
        <v>3.4</v>
      </c>
      <c r="H675" t="n">
        <v>0</v>
      </c>
      <c r="I675" t="n">
        <v>0</v>
      </c>
      <c r="J675" t="n">
        <v>0</v>
      </c>
      <c r="K675" t="n">
        <v>0</v>
      </c>
      <c r="L675" t="n">
        <v>0</v>
      </c>
      <c r="M675" t="n">
        <v>0</v>
      </c>
      <c r="N675" t="n">
        <v>0</v>
      </c>
      <c r="O675" t="n">
        <v>0</v>
      </c>
      <c r="P675" t="n">
        <v>0</v>
      </c>
      <c r="Q675" t="n">
        <v>0</v>
      </c>
      <c r="R675" s="2" t="inlineStr"/>
    </row>
    <row r="676" ht="15" customHeight="1">
      <c r="A676" t="inlineStr">
        <is>
          <t>A 4156-2022</t>
        </is>
      </c>
      <c r="B676" s="1" t="n">
        <v>44588</v>
      </c>
      <c r="C676" s="1" t="n">
        <v>45962</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41816-2021</t>
        </is>
      </c>
      <c r="B677" s="1" t="n">
        <v>44425.76280092593</v>
      </c>
      <c r="C677" s="1" t="n">
        <v>45962</v>
      </c>
      <c r="D677" t="inlineStr">
        <is>
          <t>SKÅNE LÄN</t>
        </is>
      </c>
      <c r="E677" t="inlineStr">
        <is>
          <t>OSBY</t>
        </is>
      </c>
      <c r="G677" t="n">
        <v>0.8</v>
      </c>
      <c r="H677" t="n">
        <v>0</v>
      </c>
      <c r="I677" t="n">
        <v>0</v>
      </c>
      <c r="J677" t="n">
        <v>0</v>
      </c>
      <c r="K677" t="n">
        <v>0</v>
      </c>
      <c r="L677" t="n">
        <v>0</v>
      </c>
      <c r="M677" t="n">
        <v>0</v>
      </c>
      <c r="N677" t="n">
        <v>0</v>
      </c>
      <c r="O677" t="n">
        <v>0</v>
      </c>
      <c r="P677" t="n">
        <v>0</v>
      </c>
      <c r="Q677" t="n">
        <v>0</v>
      </c>
      <c r="R677" s="2" t="inlineStr"/>
    </row>
    <row r="678" ht="15" customHeight="1">
      <c r="A678" t="inlineStr">
        <is>
          <t>A 31262-2021</t>
        </is>
      </c>
      <c r="B678" s="1" t="n">
        <v>44368</v>
      </c>
      <c r="C678" s="1" t="n">
        <v>45962</v>
      </c>
      <c r="D678" t="inlineStr">
        <is>
          <t>SKÅNE LÄN</t>
        </is>
      </c>
      <c r="E678" t="inlineStr">
        <is>
          <t>KRISTIANSTAD</t>
        </is>
      </c>
      <c r="G678" t="n">
        <v>1.1</v>
      </c>
      <c r="H678" t="n">
        <v>0</v>
      </c>
      <c r="I678" t="n">
        <v>0</v>
      </c>
      <c r="J678" t="n">
        <v>0</v>
      </c>
      <c r="K678" t="n">
        <v>0</v>
      </c>
      <c r="L678" t="n">
        <v>0</v>
      </c>
      <c r="M678" t="n">
        <v>0</v>
      </c>
      <c r="N678" t="n">
        <v>0</v>
      </c>
      <c r="O678" t="n">
        <v>0</v>
      </c>
      <c r="P678" t="n">
        <v>0</v>
      </c>
      <c r="Q678" t="n">
        <v>0</v>
      </c>
      <c r="R678" s="2" t="inlineStr"/>
    </row>
    <row r="679" ht="15" customHeight="1">
      <c r="A679" t="inlineStr">
        <is>
          <t>A 56006-2021</t>
        </is>
      </c>
      <c r="B679" s="1" t="n">
        <v>44477</v>
      </c>
      <c r="C679" s="1" t="n">
        <v>45962</v>
      </c>
      <c r="D679" t="inlineStr">
        <is>
          <t>SKÅNE LÄN</t>
        </is>
      </c>
      <c r="E679" t="inlineStr">
        <is>
          <t>ÖRKELLJUNGA</t>
        </is>
      </c>
      <c r="G679" t="n">
        <v>2.1</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45962</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28131-2021</t>
        </is>
      </c>
      <c r="B681" s="1" t="n">
        <v>44355</v>
      </c>
      <c r="C681" s="1" t="n">
        <v>45962</v>
      </c>
      <c r="D681" t="inlineStr">
        <is>
          <t>SKÅNE LÄN</t>
        </is>
      </c>
      <c r="E681" t="inlineStr">
        <is>
          <t>TOMELILLA</t>
        </is>
      </c>
      <c r="F681" t="inlineStr">
        <is>
          <t>Övriga Aktiebolag</t>
        </is>
      </c>
      <c r="G681" t="n">
        <v>7</v>
      </c>
      <c r="H681" t="n">
        <v>0</v>
      </c>
      <c r="I681" t="n">
        <v>0</v>
      </c>
      <c r="J681" t="n">
        <v>0</v>
      </c>
      <c r="K681" t="n">
        <v>0</v>
      </c>
      <c r="L681" t="n">
        <v>0</v>
      </c>
      <c r="M681" t="n">
        <v>0</v>
      </c>
      <c r="N681" t="n">
        <v>0</v>
      </c>
      <c r="O681" t="n">
        <v>0</v>
      </c>
      <c r="P681" t="n">
        <v>0</v>
      </c>
      <c r="Q681" t="n">
        <v>0</v>
      </c>
      <c r="R681" s="2" t="inlineStr"/>
    </row>
    <row r="682" ht="15" customHeight="1">
      <c r="A682" t="inlineStr">
        <is>
          <t>A 51353-2021</t>
        </is>
      </c>
      <c r="B682" s="1" t="n">
        <v>44461.65069444444</v>
      </c>
      <c r="C682" s="1" t="n">
        <v>45962</v>
      </c>
      <c r="D682" t="inlineStr">
        <is>
          <t>SKÅNE LÄN</t>
        </is>
      </c>
      <c r="E682" t="inlineStr">
        <is>
          <t>OSBY</t>
        </is>
      </c>
      <c r="G682" t="n">
        <v>0.6</v>
      </c>
      <c r="H682" t="n">
        <v>0</v>
      </c>
      <c r="I682" t="n">
        <v>0</v>
      </c>
      <c r="J682" t="n">
        <v>0</v>
      </c>
      <c r="K682" t="n">
        <v>0</v>
      </c>
      <c r="L682" t="n">
        <v>0</v>
      </c>
      <c r="M682" t="n">
        <v>0</v>
      </c>
      <c r="N682" t="n">
        <v>0</v>
      </c>
      <c r="O682" t="n">
        <v>0</v>
      </c>
      <c r="P682" t="n">
        <v>0</v>
      </c>
      <c r="Q682" t="n">
        <v>0</v>
      </c>
      <c r="R682" s="2" t="inlineStr"/>
    </row>
    <row r="683" ht="15" customHeight="1">
      <c r="A683" t="inlineStr">
        <is>
          <t>A 29333-2022</t>
        </is>
      </c>
      <c r="B683" s="1" t="n">
        <v>44752</v>
      </c>
      <c r="C683" s="1" t="n">
        <v>45962</v>
      </c>
      <c r="D683" t="inlineStr">
        <is>
          <t>SKÅNE LÄN</t>
        </is>
      </c>
      <c r="E683" t="inlineStr">
        <is>
          <t>ÖRKELLJUNGA</t>
        </is>
      </c>
      <c r="G683" t="n">
        <v>1.2</v>
      </c>
      <c r="H683" t="n">
        <v>0</v>
      </c>
      <c r="I683" t="n">
        <v>0</v>
      </c>
      <c r="J683" t="n">
        <v>0</v>
      </c>
      <c r="K683" t="n">
        <v>0</v>
      </c>
      <c r="L683" t="n">
        <v>0</v>
      </c>
      <c r="M683" t="n">
        <v>0</v>
      </c>
      <c r="N683" t="n">
        <v>0</v>
      </c>
      <c r="O683" t="n">
        <v>0</v>
      </c>
      <c r="P683" t="n">
        <v>0</v>
      </c>
      <c r="Q683" t="n">
        <v>0</v>
      </c>
      <c r="R683" s="2" t="inlineStr"/>
    </row>
    <row r="684" ht="15" customHeight="1">
      <c r="A684" t="inlineStr">
        <is>
          <t>A 13550-2021</t>
        </is>
      </c>
      <c r="B684" s="1" t="n">
        <v>44273</v>
      </c>
      <c r="C684" s="1" t="n">
        <v>45962</v>
      </c>
      <c r="D684" t="inlineStr">
        <is>
          <t>SKÅNE LÄN</t>
        </is>
      </c>
      <c r="E684" t="inlineStr">
        <is>
          <t>HÖRBY</t>
        </is>
      </c>
      <c r="G684" t="n">
        <v>1.4</v>
      </c>
      <c r="H684" t="n">
        <v>0</v>
      </c>
      <c r="I684" t="n">
        <v>0</v>
      </c>
      <c r="J684" t="n">
        <v>0</v>
      </c>
      <c r="K684" t="n">
        <v>0</v>
      </c>
      <c r="L684" t="n">
        <v>0</v>
      </c>
      <c r="M684" t="n">
        <v>0</v>
      </c>
      <c r="N684" t="n">
        <v>0</v>
      </c>
      <c r="O684" t="n">
        <v>0</v>
      </c>
      <c r="P684" t="n">
        <v>0</v>
      </c>
      <c r="Q684" t="n">
        <v>0</v>
      </c>
      <c r="R684" s="2" t="inlineStr"/>
    </row>
    <row r="685" ht="15" customHeight="1">
      <c r="A685" t="inlineStr">
        <is>
          <t>A 70982-2021</t>
        </is>
      </c>
      <c r="B685" s="1" t="n">
        <v>44538</v>
      </c>
      <c r="C685" s="1" t="n">
        <v>45962</v>
      </c>
      <c r="D685" t="inlineStr">
        <is>
          <t>SKÅNE LÄN</t>
        </is>
      </c>
      <c r="E685" t="inlineStr">
        <is>
          <t>HÖÖR</t>
        </is>
      </c>
      <c r="G685" t="n">
        <v>1.7</v>
      </c>
      <c r="H685" t="n">
        <v>0</v>
      </c>
      <c r="I685" t="n">
        <v>0</v>
      </c>
      <c r="J685" t="n">
        <v>0</v>
      </c>
      <c r="K685" t="n">
        <v>0</v>
      </c>
      <c r="L685" t="n">
        <v>0</v>
      </c>
      <c r="M685" t="n">
        <v>0</v>
      </c>
      <c r="N685" t="n">
        <v>0</v>
      </c>
      <c r="O685" t="n">
        <v>0</v>
      </c>
      <c r="P685" t="n">
        <v>0</v>
      </c>
      <c r="Q685" t="n">
        <v>0</v>
      </c>
      <c r="R685" s="2" t="inlineStr"/>
    </row>
    <row r="686" ht="15" customHeight="1">
      <c r="A686" t="inlineStr">
        <is>
          <t>A 18509-2021</t>
        </is>
      </c>
      <c r="B686" s="1" t="n">
        <v>44305</v>
      </c>
      <c r="C686" s="1" t="n">
        <v>45962</v>
      </c>
      <c r="D686" t="inlineStr">
        <is>
          <t>SKÅNE LÄN</t>
        </is>
      </c>
      <c r="E686" t="inlineStr">
        <is>
          <t>PERSTORP</t>
        </is>
      </c>
      <c r="F686" t="inlineStr">
        <is>
          <t>Övriga Aktiebolag</t>
        </is>
      </c>
      <c r="G686" t="n">
        <v>1.3</v>
      </c>
      <c r="H686" t="n">
        <v>0</v>
      </c>
      <c r="I686" t="n">
        <v>0</v>
      </c>
      <c r="J686" t="n">
        <v>0</v>
      </c>
      <c r="K686" t="n">
        <v>0</v>
      </c>
      <c r="L686" t="n">
        <v>0</v>
      </c>
      <c r="M686" t="n">
        <v>0</v>
      </c>
      <c r="N686" t="n">
        <v>0</v>
      </c>
      <c r="O686" t="n">
        <v>0</v>
      </c>
      <c r="P686" t="n">
        <v>0</v>
      </c>
      <c r="Q686" t="n">
        <v>0</v>
      </c>
      <c r="R686" s="2" t="inlineStr"/>
    </row>
    <row r="687" ht="15" customHeight="1">
      <c r="A687" t="inlineStr">
        <is>
          <t>A 13440-2021</t>
        </is>
      </c>
      <c r="B687" s="1" t="n">
        <v>44273</v>
      </c>
      <c r="C687" s="1" t="n">
        <v>45962</v>
      </c>
      <c r="D687" t="inlineStr">
        <is>
          <t>SKÅNE LÄN</t>
        </is>
      </c>
      <c r="E687" t="inlineStr">
        <is>
          <t>HÖÖR</t>
        </is>
      </c>
      <c r="G687" t="n">
        <v>1.9</v>
      </c>
      <c r="H687" t="n">
        <v>0</v>
      </c>
      <c r="I687" t="n">
        <v>0</v>
      </c>
      <c r="J687" t="n">
        <v>0</v>
      </c>
      <c r="K687" t="n">
        <v>0</v>
      </c>
      <c r="L687" t="n">
        <v>0</v>
      </c>
      <c r="M687" t="n">
        <v>0</v>
      </c>
      <c r="N687" t="n">
        <v>0</v>
      </c>
      <c r="O687" t="n">
        <v>0</v>
      </c>
      <c r="P687" t="n">
        <v>0</v>
      </c>
      <c r="Q687" t="n">
        <v>0</v>
      </c>
      <c r="R687" s="2" t="inlineStr"/>
    </row>
    <row r="688" ht="15" customHeight="1">
      <c r="A688" t="inlineStr">
        <is>
          <t>A 43389-2022</t>
        </is>
      </c>
      <c r="B688" s="1" t="n">
        <v>44834.66863425926</v>
      </c>
      <c r="C688" s="1" t="n">
        <v>45962</v>
      </c>
      <c r="D688" t="inlineStr">
        <is>
          <t>SKÅNE LÄN</t>
        </is>
      </c>
      <c r="E688" t="inlineStr">
        <is>
          <t>HÖRBY</t>
        </is>
      </c>
      <c r="G688" t="n">
        <v>0.4</v>
      </c>
      <c r="H688" t="n">
        <v>0</v>
      </c>
      <c r="I688" t="n">
        <v>0</v>
      </c>
      <c r="J688" t="n">
        <v>0</v>
      </c>
      <c r="K688" t="n">
        <v>0</v>
      </c>
      <c r="L688" t="n">
        <v>0</v>
      </c>
      <c r="M688" t="n">
        <v>0</v>
      </c>
      <c r="N688" t="n">
        <v>0</v>
      </c>
      <c r="O688" t="n">
        <v>0</v>
      </c>
      <c r="P688" t="n">
        <v>0</v>
      </c>
      <c r="Q688" t="n">
        <v>0</v>
      </c>
      <c r="R688" s="2" t="inlineStr"/>
    </row>
    <row r="689" ht="15" customHeight="1">
      <c r="A689" t="inlineStr">
        <is>
          <t>A 19449-2021</t>
        </is>
      </c>
      <c r="B689" s="1" t="n">
        <v>44310.88846064815</v>
      </c>
      <c r="C689" s="1" t="n">
        <v>45962</v>
      </c>
      <c r="D689" t="inlineStr">
        <is>
          <t>SKÅNE LÄN</t>
        </is>
      </c>
      <c r="E689" t="inlineStr">
        <is>
          <t>HÄSSLEHOLM</t>
        </is>
      </c>
      <c r="G689" t="n">
        <v>0.5</v>
      </c>
      <c r="H689" t="n">
        <v>0</v>
      </c>
      <c r="I689" t="n">
        <v>0</v>
      </c>
      <c r="J689" t="n">
        <v>0</v>
      </c>
      <c r="K689" t="n">
        <v>0</v>
      </c>
      <c r="L689" t="n">
        <v>0</v>
      </c>
      <c r="M689" t="n">
        <v>0</v>
      </c>
      <c r="N689" t="n">
        <v>0</v>
      </c>
      <c r="O689" t="n">
        <v>0</v>
      </c>
      <c r="P689" t="n">
        <v>0</v>
      </c>
      <c r="Q689" t="n">
        <v>0</v>
      </c>
      <c r="R689" s="2" t="inlineStr"/>
    </row>
    <row r="690" ht="15" customHeight="1">
      <c r="A690" t="inlineStr">
        <is>
          <t>A 26262-2021</t>
        </is>
      </c>
      <c r="B690" s="1" t="n">
        <v>44347</v>
      </c>
      <c r="C690" s="1" t="n">
        <v>45962</v>
      </c>
      <c r="D690" t="inlineStr">
        <is>
          <t>SKÅNE LÄN</t>
        </is>
      </c>
      <c r="E690" t="inlineStr">
        <is>
          <t>SJÖBO</t>
        </is>
      </c>
      <c r="G690" t="n">
        <v>4</v>
      </c>
      <c r="H690" t="n">
        <v>0</v>
      </c>
      <c r="I690" t="n">
        <v>0</v>
      </c>
      <c r="J690" t="n">
        <v>0</v>
      </c>
      <c r="K690" t="n">
        <v>0</v>
      </c>
      <c r="L690" t="n">
        <v>0</v>
      </c>
      <c r="M690" t="n">
        <v>0</v>
      </c>
      <c r="N690" t="n">
        <v>0</v>
      </c>
      <c r="O690" t="n">
        <v>0</v>
      </c>
      <c r="P690" t="n">
        <v>0</v>
      </c>
      <c r="Q690" t="n">
        <v>0</v>
      </c>
      <c r="R690" s="2" t="inlineStr"/>
    </row>
    <row r="691" ht="15" customHeight="1">
      <c r="A691" t="inlineStr">
        <is>
          <t>A 27795-2021</t>
        </is>
      </c>
      <c r="B691" s="1" t="n">
        <v>44354</v>
      </c>
      <c r="C691" s="1" t="n">
        <v>45962</v>
      </c>
      <c r="D691" t="inlineStr">
        <is>
          <t>SKÅNE LÄN</t>
        </is>
      </c>
      <c r="E691" t="inlineStr">
        <is>
          <t>ÖSTRA GÖINGE</t>
        </is>
      </c>
      <c r="G691" t="n">
        <v>0.5</v>
      </c>
      <c r="H691" t="n">
        <v>0</v>
      </c>
      <c r="I691" t="n">
        <v>0</v>
      </c>
      <c r="J691" t="n">
        <v>0</v>
      </c>
      <c r="K691" t="n">
        <v>0</v>
      </c>
      <c r="L691" t="n">
        <v>0</v>
      </c>
      <c r="M691" t="n">
        <v>0</v>
      </c>
      <c r="N691" t="n">
        <v>0</v>
      </c>
      <c r="O691" t="n">
        <v>0</v>
      </c>
      <c r="P691" t="n">
        <v>0</v>
      </c>
      <c r="Q691" t="n">
        <v>0</v>
      </c>
      <c r="R691" s="2" t="inlineStr"/>
    </row>
    <row r="692" ht="15" customHeight="1">
      <c r="A692" t="inlineStr">
        <is>
          <t>A 29748-2021</t>
        </is>
      </c>
      <c r="B692" s="1" t="n">
        <v>44362</v>
      </c>
      <c r="C692" s="1" t="n">
        <v>45962</v>
      </c>
      <c r="D692" t="inlineStr">
        <is>
          <t>SKÅNE LÄN</t>
        </is>
      </c>
      <c r="E692" t="inlineStr">
        <is>
          <t>PERSTORP</t>
        </is>
      </c>
      <c r="G692" t="n">
        <v>0.7</v>
      </c>
      <c r="H692" t="n">
        <v>0</v>
      </c>
      <c r="I692" t="n">
        <v>0</v>
      </c>
      <c r="J692" t="n">
        <v>0</v>
      </c>
      <c r="K692" t="n">
        <v>0</v>
      </c>
      <c r="L692" t="n">
        <v>0</v>
      </c>
      <c r="M692" t="n">
        <v>0</v>
      </c>
      <c r="N692" t="n">
        <v>0</v>
      </c>
      <c r="O692" t="n">
        <v>0</v>
      </c>
      <c r="P692" t="n">
        <v>0</v>
      </c>
      <c r="Q692" t="n">
        <v>0</v>
      </c>
      <c r="R692" s="2" t="inlineStr"/>
    </row>
    <row r="693" ht="15" customHeight="1">
      <c r="A693" t="inlineStr">
        <is>
          <t>A 66520-2021</t>
        </is>
      </c>
      <c r="B693" s="1" t="n">
        <v>44519.36152777778</v>
      </c>
      <c r="C693" s="1" t="n">
        <v>45962</v>
      </c>
      <c r="D693" t="inlineStr">
        <is>
          <t>SKÅNE LÄN</t>
        </is>
      </c>
      <c r="E693" t="inlineStr">
        <is>
          <t>ÖSTRA GÖINGE</t>
        </is>
      </c>
      <c r="G693" t="n">
        <v>0.6</v>
      </c>
      <c r="H693" t="n">
        <v>0</v>
      </c>
      <c r="I693" t="n">
        <v>0</v>
      </c>
      <c r="J693" t="n">
        <v>0</v>
      </c>
      <c r="K693" t="n">
        <v>0</v>
      </c>
      <c r="L693" t="n">
        <v>0</v>
      </c>
      <c r="M693" t="n">
        <v>0</v>
      </c>
      <c r="N693" t="n">
        <v>0</v>
      </c>
      <c r="O693" t="n">
        <v>0</v>
      </c>
      <c r="P693" t="n">
        <v>0</v>
      </c>
      <c r="Q693" t="n">
        <v>0</v>
      </c>
      <c r="R693" s="2" t="inlineStr"/>
    </row>
    <row r="694" ht="15" customHeight="1">
      <c r="A694" t="inlineStr">
        <is>
          <t>A 25353-2022</t>
        </is>
      </c>
      <c r="B694" s="1" t="n">
        <v>44732</v>
      </c>
      <c r="C694" s="1" t="n">
        <v>45962</v>
      </c>
      <c r="D694" t="inlineStr">
        <is>
          <t>SKÅNE LÄN</t>
        </is>
      </c>
      <c r="E694" t="inlineStr">
        <is>
          <t>ÅSTORP</t>
        </is>
      </c>
      <c r="G694" t="n">
        <v>1.5</v>
      </c>
      <c r="H694" t="n">
        <v>0</v>
      </c>
      <c r="I694" t="n">
        <v>0</v>
      </c>
      <c r="J694" t="n">
        <v>0</v>
      </c>
      <c r="K694" t="n">
        <v>0</v>
      </c>
      <c r="L694" t="n">
        <v>0</v>
      </c>
      <c r="M694" t="n">
        <v>0</v>
      </c>
      <c r="N694" t="n">
        <v>0</v>
      </c>
      <c r="O694" t="n">
        <v>0</v>
      </c>
      <c r="P694" t="n">
        <v>0</v>
      </c>
      <c r="Q694" t="n">
        <v>0</v>
      </c>
      <c r="R694" s="2" t="inlineStr"/>
    </row>
    <row r="695" ht="15" customHeight="1">
      <c r="A695" t="inlineStr">
        <is>
          <t>A 33112-2021</t>
        </is>
      </c>
      <c r="B695" s="1" t="n">
        <v>44376</v>
      </c>
      <c r="C695" s="1" t="n">
        <v>45962</v>
      </c>
      <c r="D695" t="inlineStr">
        <is>
          <t>SKÅNE LÄN</t>
        </is>
      </c>
      <c r="E695" t="inlineStr">
        <is>
          <t>OSBY</t>
        </is>
      </c>
      <c r="G695" t="n">
        <v>1</v>
      </c>
      <c r="H695" t="n">
        <v>0</v>
      </c>
      <c r="I695" t="n">
        <v>0</v>
      </c>
      <c r="J695" t="n">
        <v>0</v>
      </c>
      <c r="K695" t="n">
        <v>0</v>
      </c>
      <c r="L695" t="n">
        <v>0</v>
      </c>
      <c r="M695" t="n">
        <v>0</v>
      </c>
      <c r="N695" t="n">
        <v>0</v>
      </c>
      <c r="O695" t="n">
        <v>0</v>
      </c>
      <c r="P695" t="n">
        <v>0</v>
      </c>
      <c r="Q695" t="n">
        <v>0</v>
      </c>
      <c r="R695" s="2" t="inlineStr"/>
    </row>
    <row r="696" ht="15" customHeight="1">
      <c r="A696" t="inlineStr">
        <is>
          <t>A 31285-2022</t>
        </is>
      </c>
      <c r="B696" s="1" t="n">
        <v>44771.70138888889</v>
      </c>
      <c r="C696" s="1" t="n">
        <v>45962</v>
      </c>
      <c r="D696" t="inlineStr">
        <is>
          <t>SKÅNE LÄN</t>
        </is>
      </c>
      <c r="E696" t="inlineStr">
        <is>
          <t>HÖRBY</t>
        </is>
      </c>
      <c r="G696" t="n">
        <v>0.7</v>
      </c>
      <c r="H696" t="n">
        <v>0</v>
      </c>
      <c r="I696" t="n">
        <v>0</v>
      </c>
      <c r="J696" t="n">
        <v>0</v>
      </c>
      <c r="K696" t="n">
        <v>0</v>
      </c>
      <c r="L696" t="n">
        <v>0</v>
      </c>
      <c r="M696" t="n">
        <v>0</v>
      </c>
      <c r="N696" t="n">
        <v>0</v>
      </c>
      <c r="O696" t="n">
        <v>0</v>
      </c>
      <c r="P696" t="n">
        <v>0</v>
      </c>
      <c r="Q696" t="n">
        <v>0</v>
      </c>
      <c r="R696" s="2" t="inlineStr"/>
    </row>
    <row r="697" ht="15" customHeight="1">
      <c r="A697" t="inlineStr">
        <is>
          <t>A 27906-2021</t>
        </is>
      </c>
      <c r="B697" s="1" t="n">
        <v>44354</v>
      </c>
      <c r="C697" s="1" t="n">
        <v>45962</v>
      </c>
      <c r="D697" t="inlineStr">
        <is>
          <t>SKÅNE LÄN</t>
        </is>
      </c>
      <c r="E697" t="inlineStr">
        <is>
          <t>BROMÖLLA</t>
        </is>
      </c>
      <c r="F697" t="inlineStr">
        <is>
          <t>Kyrkan</t>
        </is>
      </c>
      <c r="G697" t="n">
        <v>3.5</v>
      </c>
      <c r="H697" t="n">
        <v>0</v>
      </c>
      <c r="I697" t="n">
        <v>0</v>
      </c>
      <c r="J697" t="n">
        <v>0</v>
      </c>
      <c r="K697" t="n">
        <v>0</v>
      </c>
      <c r="L697" t="n">
        <v>0</v>
      </c>
      <c r="M697" t="n">
        <v>0</v>
      </c>
      <c r="N697" t="n">
        <v>0</v>
      </c>
      <c r="O697" t="n">
        <v>0</v>
      </c>
      <c r="P697" t="n">
        <v>0</v>
      </c>
      <c r="Q697" t="n">
        <v>0</v>
      </c>
      <c r="R697" s="2" t="inlineStr"/>
    </row>
    <row r="698" ht="15" customHeight="1">
      <c r="A698" t="inlineStr">
        <is>
          <t>A 60875-2020</t>
        </is>
      </c>
      <c r="B698" s="1" t="n">
        <v>44154</v>
      </c>
      <c r="C698" s="1" t="n">
        <v>45962</v>
      </c>
      <c r="D698" t="inlineStr">
        <is>
          <t>SKÅNE LÄN</t>
        </is>
      </c>
      <c r="E698" t="inlineStr">
        <is>
          <t>ÖRKELLJUNGA</t>
        </is>
      </c>
      <c r="G698" t="n">
        <v>0.5</v>
      </c>
      <c r="H698" t="n">
        <v>0</v>
      </c>
      <c r="I698" t="n">
        <v>0</v>
      </c>
      <c r="J698" t="n">
        <v>0</v>
      </c>
      <c r="K698" t="n">
        <v>0</v>
      </c>
      <c r="L698" t="n">
        <v>0</v>
      </c>
      <c r="M698" t="n">
        <v>0</v>
      </c>
      <c r="N698" t="n">
        <v>0</v>
      </c>
      <c r="O698" t="n">
        <v>0</v>
      </c>
      <c r="P698" t="n">
        <v>0</v>
      </c>
      <c r="Q698" t="n">
        <v>0</v>
      </c>
      <c r="R698" s="2" t="inlineStr"/>
    </row>
    <row r="699" ht="15" customHeight="1">
      <c r="A699" t="inlineStr">
        <is>
          <t>A 32543-2021</t>
        </is>
      </c>
      <c r="B699" s="1" t="n">
        <v>44374.93796296296</v>
      </c>
      <c r="C699" s="1" t="n">
        <v>45962</v>
      </c>
      <c r="D699" t="inlineStr">
        <is>
          <t>SKÅNE LÄN</t>
        </is>
      </c>
      <c r="E699" t="inlineStr">
        <is>
          <t>HÖRBY</t>
        </is>
      </c>
      <c r="G699" t="n">
        <v>1.2</v>
      </c>
      <c r="H699" t="n">
        <v>0</v>
      </c>
      <c r="I699" t="n">
        <v>0</v>
      </c>
      <c r="J699" t="n">
        <v>0</v>
      </c>
      <c r="K699" t="n">
        <v>0</v>
      </c>
      <c r="L699" t="n">
        <v>0</v>
      </c>
      <c r="M699" t="n">
        <v>0</v>
      </c>
      <c r="N699" t="n">
        <v>0</v>
      </c>
      <c r="O699" t="n">
        <v>0</v>
      </c>
      <c r="P699" t="n">
        <v>0</v>
      </c>
      <c r="Q699" t="n">
        <v>0</v>
      </c>
      <c r="R699" s="2" t="inlineStr"/>
    </row>
    <row r="700" ht="15" customHeight="1">
      <c r="A700" t="inlineStr">
        <is>
          <t>A 68053-2020</t>
        </is>
      </c>
      <c r="B700" s="1" t="n">
        <v>44183</v>
      </c>
      <c r="C700" s="1" t="n">
        <v>45962</v>
      </c>
      <c r="D700" t="inlineStr">
        <is>
          <t>SKÅNE LÄN</t>
        </is>
      </c>
      <c r="E700" t="inlineStr">
        <is>
          <t>OSBY</t>
        </is>
      </c>
      <c r="G700" t="n">
        <v>0.7</v>
      </c>
      <c r="H700" t="n">
        <v>0</v>
      </c>
      <c r="I700" t="n">
        <v>0</v>
      </c>
      <c r="J700" t="n">
        <v>0</v>
      </c>
      <c r="K700" t="n">
        <v>0</v>
      </c>
      <c r="L700" t="n">
        <v>0</v>
      </c>
      <c r="M700" t="n">
        <v>0</v>
      </c>
      <c r="N700" t="n">
        <v>0</v>
      </c>
      <c r="O700" t="n">
        <v>0</v>
      </c>
      <c r="P700" t="n">
        <v>0</v>
      </c>
      <c r="Q700" t="n">
        <v>0</v>
      </c>
      <c r="R700" s="2" t="inlineStr"/>
    </row>
    <row r="701" ht="15" customHeight="1">
      <c r="A701" t="inlineStr">
        <is>
          <t>A 41581-2021</t>
        </is>
      </c>
      <c r="B701" s="1" t="n">
        <v>44425.40167824074</v>
      </c>
      <c r="C701" s="1" t="n">
        <v>45962</v>
      </c>
      <c r="D701" t="inlineStr">
        <is>
          <t>SKÅNE LÄN</t>
        </is>
      </c>
      <c r="E701" t="inlineStr">
        <is>
          <t>HÄSSLEHOLM</t>
        </is>
      </c>
      <c r="G701" t="n">
        <v>0.7</v>
      </c>
      <c r="H701" t="n">
        <v>0</v>
      </c>
      <c r="I701" t="n">
        <v>0</v>
      </c>
      <c r="J701" t="n">
        <v>0</v>
      </c>
      <c r="K701" t="n">
        <v>0</v>
      </c>
      <c r="L701" t="n">
        <v>0</v>
      </c>
      <c r="M701" t="n">
        <v>0</v>
      </c>
      <c r="N701" t="n">
        <v>0</v>
      </c>
      <c r="O701" t="n">
        <v>0</v>
      </c>
      <c r="P701" t="n">
        <v>0</v>
      </c>
      <c r="Q701" t="n">
        <v>0</v>
      </c>
      <c r="R701" s="2" t="inlineStr"/>
    </row>
    <row r="702" ht="15" customHeight="1">
      <c r="A702" t="inlineStr">
        <is>
          <t>A 34283-2021</t>
        </is>
      </c>
      <c r="B702" s="1" t="n">
        <v>44379.59303240741</v>
      </c>
      <c r="C702" s="1" t="n">
        <v>45962</v>
      </c>
      <c r="D702" t="inlineStr">
        <is>
          <t>SKÅNE LÄN</t>
        </is>
      </c>
      <c r="E702" t="inlineStr">
        <is>
          <t>ÖSTRA GÖINGE</t>
        </is>
      </c>
      <c r="G702" t="n">
        <v>0.5</v>
      </c>
      <c r="H702" t="n">
        <v>0</v>
      </c>
      <c r="I702" t="n">
        <v>0</v>
      </c>
      <c r="J702" t="n">
        <v>0</v>
      </c>
      <c r="K702" t="n">
        <v>0</v>
      </c>
      <c r="L702" t="n">
        <v>0</v>
      </c>
      <c r="M702" t="n">
        <v>0</v>
      </c>
      <c r="N702" t="n">
        <v>0</v>
      </c>
      <c r="O702" t="n">
        <v>0</v>
      </c>
      <c r="P702" t="n">
        <v>0</v>
      </c>
      <c r="Q702" t="n">
        <v>0</v>
      </c>
      <c r="R702" s="2" t="inlineStr"/>
    </row>
    <row r="703" ht="15" customHeight="1">
      <c r="A703" t="inlineStr">
        <is>
          <t>A 41769-2022</t>
        </is>
      </c>
      <c r="B703" s="1" t="n">
        <v>44827</v>
      </c>
      <c r="C703" s="1" t="n">
        <v>45962</v>
      </c>
      <c r="D703" t="inlineStr">
        <is>
          <t>SKÅNE LÄN</t>
        </is>
      </c>
      <c r="E703" t="inlineStr">
        <is>
          <t>ÄNGELHOLM</t>
        </is>
      </c>
      <c r="G703" t="n">
        <v>0.6</v>
      </c>
      <c r="H703" t="n">
        <v>0</v>
      </c>
      <c r="I703" t="n">
        <v>0</v>
      </c>
      <c r="J703" t="n">
        <v>0</v>
      </c>
      <c r="K703" t="n">
        <v>0</v>
      </c>
      <c r="L703" t="n">
        <v>0</v>
      </c>
      <c r="M703" t="n">
        <v>0</v>
      </c>
      <c r="N703" t="n">
        <v>0</v>
      </c>
      <c r="O703" t="n">
        <v>0</v>
      </c>
      <c r="P703" t="n">
        <v>0</v>
      </c>
      <c r="Q703" t="n">
        <v>0</v>
      </c>
      <c r="R703" s="2" t="inlineStr"/>
    </row>
    <row r="704" ht="15" customHeight="1">
      <c r="A704" t="inlineStr">
        <is>
          <t>A 35910-2021</t>
        </is>
      </c>
      <c r="B704" s="1" t="n">
        <v>44387</v>
      </c>
      <c r="C704" s="1" t="n">
        <v>45962</v>
      </c>
      <c r="D704" t="inlineStr">
        <is>
          <t>SKÅNE LÄN</t>
        </is>
      </c>
      <c r="E704" t="inlineStr">
        <is>
          <t>ÖRKELLJUNGA</t>
        </is>
      </c>
      <c r="G704" t="n">
        <v>6.7</v>
      </c>
      <c r="H704" t="n">
        <v>0</v>
      </c>
      <c r="I704" t="n">
        <v>0</v>
      </c>
      <c r="J704" t="n">
        <v>0</v>
      </c>
      <c r="K704" t="n">
        <v>0</v>
      </c>
      <c r="L704" t="n">
        <v>0</v>
      </c>
      <c r="M704" t="n">
        <v>0</v>
      </c>
      <c r="N704" t="n">
        <v>0</v>
      </c>
      <c r="O704" t="n">
        <v>0</v>
      </c>
      <c r="P704" t="n">
        <v>0</v>
      </c>
      <c r="Q704" t="n">
        <v>0</v>
      </c>
      <c r="R704" s="2" t="inlineStr"/>
    </row>
    <row r="705" ht="15" customHeight="1">
      <c r="A705" t="inlineStr">
        <is>
          <t>A 30564-2022</t>
        </is>
      </c>
      <c r="B705" s="1" t="n">
        <v>44762.58835648148</v>
      </c>
      <c r="C705" s="1" t="n">
        <v>45962</v>
      </c>
      <c r="D705" t="inlineStr">
        <is>
          <t>SKÅNE LÄN</t>
        </is>
      </c>
      <c r="E705" t="inlineStr">
        <is>
          <t>OSBY</t>
        </is>
      </c>
      <c r="G705" t="n">
        <v>0.8</v>
      </c>
      <c r="H705" t="n">
        <v>0</v>
      </c>
      <c r="I705" t="n">
        <v>0</v>
      </c>
      <c r="J705" t="n">
        <v>0</v>
      </c>
      <c r="K705" t="n">
        <v>0</v>
      </c>
      <c r="L705" t="n">
        <v>0</v>
      </c>
      <c r="M705" t="n">
        <v>0</v>
      </c>
      <c r="N705" t="n">
        <v>0</v>
      </c>
      <c r="O705" t="n">
        <v>0</v>
      </c>
      <c r="P705" t="n">
        <v>0</v>
      </c>
      <c r="Q705" t="n">
        <v>0</v>
      </c>
      <c r="R705" s="2" t="inlineStr"/>
    </row>
    <row r="706" ht="15" customHeight="1">
      <c r="A706" t="inlineStr">
        <is>
          <t>A 44160-2021</t>
        </is>
      </c>
      <c r="B706" s="1" t="n">
        <v>44434</v>
      </c>
      <c r="C706" s="1" t="n">
        <v>45962</v>
      </c>
      <c r="D706" t="inlineStr">
        <is>
          <t>SKÅNE LÄN</t>
        </is>
      </c>
      <c r="E706" t="inlineStr">
        <is>
          <t>HÖÖR</t>
        </is>
      </c>
      <c r="G706" t="n">
        <v>0.8</v>
      </c>
      <c r="H706" t="n">
        <v>0</v>
      </c>
      <c r="I706" t="n">
        <v>0</v>
      </c>
      <c r="J706" t="n">
        <v>0</v>
      </c>
      <c r="K706" t="n">
        <v>0</v>
      </c>
      <c r="L706" t="n">
        <v>0</v>
      </c>
      <c r="M706" t="n">
        <v>0</v>
      </c>
      <c r="N706" t="n">
        <v>0</v>
      </c>
      <c r="O706" t="n">
        <v>0</v>
      </c>
      <c r="P706" t="n">
        <v>0</v>
      </c>
      <c r="Q706" t="n">
        <v>0</v>
      </c>
      <c r="R706" s="2" t="inlineStr"/>
    </row>
    <row r="707" ht="15" customHeight="1">
      <c r="A707" t="inlineStr">
        <is>
          <t>A 2272-2021</t>
        </is>
      </c>
      <c r="B707" s="1" t="n">
        <v>44211</v>
      </c>
      <c r="C707" s="1" t="n">
        <v>45962</v>
      </c>
      <c r="D707" t="inlineStr">
        <is>
          <t>SKÅNE LÄN</t>
        </is>
      </c>
      <c r="E707" t="inlineStr">
        <is>
          <t>KRISTIANSTAD</t>
        </is>
      </c>
      <c r="G707" t="n">
        <v>1.8</v>
      </c>
      <c r="H707" t="n">
        <v>0</v>
      </c>
      <c r="I707" t="n">
        <v>0</v>
      </c>
      <c r="J707" t="n">
        <v>0</v>
      </c>
      <c r="K707" t="n">
        <v>0</v>
      </c>
      <c r="L707" t="n">
        <v>0</v>
      </c>
      <c r="M707" t="n">
        <v>0</v>
      </c>
      <c r="N707" t="n">
        <v>0</v>
      </c>
      <c r="O707" t="n">
        <v>0</v>
      </c>
      <c r="P707" t="n">
        <v>0</v>
      </c>
      <c r="Q707" t="n">
        <v>0</v>
      </c>
      <c r="R707" s="2" t="inlineStr"/>
    </row>
    <row r="708" ht="15" customHeight="1">
      <c r="A708" t="inlineStr">
        <is>
          <t>A 39476-2021</t>
        </is>
      </c>
      <c r="B708" s="1" t="n">
        <v>44414</v>
      </c>
      <c r="C708" s="1" t="n">
        <v>45962</v>
      </c>
      <c r="D708" t="inlineStr">
        <is>
          <t>SKÅNE LÄN</t>
        </is>
      </c>
      <c r="E708" t="inlineStr">
        <is>
          <t>ÖSTRA GÖINGE</t>
        </is>
      </c>
      <c r="G708" t="n">
        <v>0.7</v>
      </c>
      <c r="H708" t="n">
        <v>0</v>
      </c>
      <c r="I708" t="n">
        <v>0</v>
      </c>
      <c r="J708" t="n">
        <v>0</v>
      </c>
      <c r="K708" t="n">
        <v>0</v>
      </c>
      <c r="L708" t="n">
        <v>0</v>
      </c>
      <c r="M708" t="n">
        <v>0</v>
      </c>
      <c r="N708" t="n">
        <v>0</v>
      </c>
      <c r="O708" t="n">
        <v>0</v>
      </c>
      <c r="P708" t="n">
        <v>0</v>
      </c>
      <c r="Q708" t="n">
        <v>0</v>
      </c>
      <c r="R708" s="2" t="inlineStr"/>
    </row>
    <row r="709" ht="15" customHeight="1">
      <c r="A709" t="inlineStr">
        <is>
          <t>A 64141-2021</t>
        </is>
      </c>
      <c r="B709" s="1" t="n">
        <v>44510</v>
      </c>
      <c r="C709" s="1" t="n">
        <v>45962</v>
      </c>
      <c r="D709" t="inlineStr">
        <is>
          <t>SKÅNE LÄN</t>
        </is>
      </c>
      <c r="E709" t="inlineStr">
        <is>
          <t>OSBY</t>
        </is>
      </c>
      <c r="G709" t="n">
        <v>0.6</v>
      </c>
      <c r="H709" t="n">
        <v>0</v>
      </c>
      <c r="I709" t="n">
        <v>0</v>
      </c>
      <c r="J709" t="n">
        <v>0</v>
      </c>
      <c r="K709" t="n">
        <v>0</v>
      </c>
      <c r="L709" t="n">
        <v>0</v>
      </c>
      <c r="M709" t="n">
        <v>0</v>
      </c>
      <c r="N709" t="n">
        <v>0</v>
      </c>
      <c r="O709" t="n">
        <v>0</v>
      </c>
      <c r="P709" t="n">
        <v>0</v>
      </c>
      <c r="Q709" t="n">
        <v>0</v>
      </c>
      <c r="R709" s="2" t="inlineStr"/>
    </row>
    <row r="710" ht="15" customHeight="1">
      <c r="A710" t="inlineStr">
        <is>
          <t>A 64144-2021</t>
        </is>
      </c>
      <c r="B710" s="1" t="n">
        <v>44510.52255787037</v>
      </c>
      <c r="C710" s="1" t="n">
        <v>45962</v>
      </c>
      <c r="D710" t="inlineStr">
        <is>
          <t>SKÅNE LÄN</t>
        </is>
      </c>
      <c r="E710" t="inlineStr">
        <is>
          <t>OSBY</t>
        </is>
      </c>
      <c r="G710" t="n">
        <v>0.7</v>
      </c>
      <c r="H710" t="n">
        <v>0</v>
      </c>
      <c r="I710" t="n">
        <v>0</v>
      </c>
      <c r="J710" t="n">
        <v>0</v>
      </c>
      <c r="K710" t="n">
        <v>0</v>
      </c>
      <c r="L710" t="n">
        <v>0</v>
      </c>
      <c r="M710" t="n">
        <v>0</v>
      </c>
      <c r="N710" t="n">
        <v>0</v>
      </c>
      <c r="O710" t="n">
        <v>0</v>
      </c>
      <c r="P710" t="n">
        <v>0</v>
      </c>
      <c r="Q710" t="n">
        <v>0</v>
      </c>
      <c r="R710" s="2" t="inlineStr"/>
    </row>
    <row r="711" ht="15" customHeight="1">
      <c r="A711" t="inlineStr">
        <is>
          <t>A 44328-2021</t>
        </is>
      </c>
      <c r="B711" s="1" t="n">
        <v>44435</v>
      </c>
      <c r="C711" s="1" t="n">
        <v>45962</v>
      </c>
      <c r="D711" t="inlineStr">
        <is>
          <t>SKÅNE LÄN</t>
        </is>
      </c>
      <c r="E711" t="inlineStr">
        <is>
          <t>HÄSSLEHOLM</t>
        </is>
      </c>
      <c r="G711" t="n">
        <v>2.7</v>
      </c>
      <c r="H711" t="n">
        <v>0</v>
      </c>
      <c r="I711" t="n">
        <v>0</v>
      </c>
      <c r="J711" t="n">
        <v>0</v>
      </c>
      <c r="K711" t="n">
        <v>0</v>
      </c>
      <c r="L711" t="n">
        <v>0</v>
      </c>
      <c r="M711" t="n">
        <v>0</v>
      </c>
      <c r="N711" t="n">
        <v>0</v>
      </c>
      <c r="O711" t="n">
        <v>0</v>
      </c>
      <c r="P711" t="n">
        <v>0</v>
      </c>
      <c r="Q711" t="n">
        <v>0</v>
      </c>
      <c r="R711" s="2" t="inlineStr"/>
    </row>
    <row r="712" ht="15" customHeight="1">
      <c r="A712" t="inlineStr">
        <is>
          <t>A 56229-2021</t>
        </is>
      </c>
      <c r="B712" s="1" t="n">
        <v>44478</v>
      </c>
      <c r="C712" s="1" t="n">
        <v>45962</v>
      </c>
      <c r="D712" t="inlineStr">
        <is>
          <t>SKÅNE LÄN</t>
        </is>
      </c>
      <c r="E712" t="inlineStr">
        <is>
          <t>OSBY</t>
        </is>
      </c>
      <c r="G712" t="n">
        <v>5.7</v>
      </c>
      <c r="H712" t="n">
        <v>0</v>
      </c>
      <c r="I712" t="n">
        <v>0</v>
      </c>
      <c r="J712" t="n">
        <v>0</v>
      </c>
      <c r="K712" t="n">
        <v>0</v>
      </c>
      <c r="L712" t="n">
        <v>0</v>
      </c>
      <c r="M712" t="n">
        <v>0</v>
      </c>
      <c r="N712" t="n">
        <v>0</v>
      </c>
      <c r="O712" t="n">
        <v>0</v>
      </c>
      <c r="P712" t="n">
        <v>0</v>
      </c>
      <c r="Q712" t="n">
        <v>0</v>
      </c>
      <c r="R712" s="2" t="inlineStr"/>
    </row>
    <row r="713" ht="15" customHeight="1">
      <c r="A713" t="inlineStr">
        <is>
          <t>A 34684-2021</t>
        </is>
      </c>
      <c r="B713" s="1" t="n">
        <v>44382</v>
      </c>
      <c r="C713" s="1" t="n">
        <v>45962</v>
      </c>
      <c r="D713" t="inlineStr">
        <is>
          <t>SKÅNE LÄN</t>
        </is>
      </c>
      <c r="E713" t="inlineStr">
        <is>
          <t>HÄSSLEHOLM</t>
        </is>
      </c>
      <c r="F713" t="inlineStr">
        <is>
          <t>Övriga Aktiebolag</t>
        </is>
      </c>
      <c r="G713" t="n">
        <v>0.9</v>
      </c>
      <c r="H713" t="n">
        <v>0</v>
      </c>
      <c r="I713" t="n">
        <v>0</v>
      </c>
      <c r="J713" t="n">
        <v>0</v>
      </c>
      <c r="K713" t="n">
        <v>0</v>
      </c>
      <c r="L713" t="n">
        <v>0</v>
      </c>
      <c r="M713" t="n">
        <v>0</v>
      </c>
      <c r="N713" t="n">
        <v>0</v>
      </c>
      <c r="O713" t="n">
        <v>0</v>
      </c>
      <c r="P713" t="n">
        <v>0</v>
      </c>
      <c r="Q713" t="n">
        <v>0</v>
      </c>
      <c r="R713" s="2" t="inlineStr"/>
    </row>
    <row r="714" ht="15" customHeight="1">
      <c r="A714" t="inlineStr">
        <is>
          <t>A 74293-2021</t>
        </is>
      </c>
      <c r="B714" s="1" t="n">
        <v>44558</v>
      </c>
      <c r="C714" s="1" t="n">
        <v>45962</v>
      </c>
      <c r="D714" t="inlineStr">
        <is>
          <t>SKÅNE LÄN</t>
        </is>
      </c>
      <c r="E714" t="inlineStr">
        <is>
          <t>HÄSSLEHOLM</t>
        </is>
      </c>
      <c r="F714" t="inlineStr">
        <is>
          <t>Kyrkan</t>
        </is>
      </c>
      <c r="G714" t="n">
        <v>3.3</v>
      </c>
      <c r="H714" t="n">
        <v>0</v>
      </c>
      <c r="I714" t="n">
        <v>0</v>
      </c>
      <c r="J714" t="n">
        <v>0</v>
      </c>
      <c r="K714" t="n">
        <v>0</v>
      </c>
      <c r="L714" t="n">
        <v>0</v>
      </c>
      <c r="M714" t="n">
        <v>0</v>
      </c>
      <c r="N714" t="n">
        <v>0</v>
      </c>
      <c r="O714" t="n">
        <v>0</v>
      </c>
      <c r="P714" t="n">
        <v>0</v>
      </c>
      <c r="Q714" t="n">
        <v>0</v>
      </c>
      <c r="R714" s="2" t="inlineStr"/>
    </row>
    <row r="715" ht="15" customHeight="1">
      <c r="A715" t="inlineStr">
        <is>
          <t>A 5215-2022</t>
        </is>
      </c>
      <c r="B715" s="1" t="n">
        <v>44594</v>
      </c>
      <c r="C715" s="1" t="n">
        <v>45962</v>
      </c>
      <c r="D715" t="inlineStr">
        <is>
          <t>SKÅNE LÄN</t>
        </is>
      </c>
      <c r="E715" t="inlineStr">
        <is>
          <t>ÖSTRA GÖINGE</t>
        </is>
      </c>
      <c r="G715" t="n">
        <v>0.2</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45962</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69530-2020</t>
        </is>
      </c>
      <c r="B717" s="1" t="n">
        <v>44194</v>
      </c>
      <c r="C717" s="1" t="n">
        <v>45962</v>
      </c>
      <c r="D717" t="inlineStr">
        <is>
          <t>SKÅNE LÄN</t>
        </is>
      </c>
      <c r="E717" t="inlineStr">
        <is>
          <t>OSBY</t>
        </is>
      </c>
      <c r="F717" t="inlineStr">
        <is>
          <t>Kommuner</t>
        </is>
      </c>
      <c r="G717" t="n">
        <v>0.7</v>
      </c>
      <c r="H717" t="n">
        <v>0</v>
      </c>
      <c r="I717" t="n">
        <v>0</v>
      </c>
      <c r="J717" t="n">
        <v>0</v>
      </c>
      <c r="K717" t="n">
        <v>0</v>
      </c>
      <c r="L717" t="n">
        <v>0</v>
      </c>
      <c r="M717" t="n">
        <v>0</v>
      </c>
      <c r="N717" t="n">
        <v>0</v>
      </c>
      <c r="O717" t="n">
        <v>0</v>
      </c>
      <c r="P717" t="n">
        <v>0</v>
      </c>
      <c r="Q717" t="n">
        <v>0</v>
      </c>
      <c r="R717" s="2" t="inlineStr"/>
    </row>
    <row r="718" ht="15" customHeight="1">
      <c r="A718" t="inlineStr">
        <is>
          <t>A 37809-2021</t>
        </is>
      </c>
      <c r="B718" s="1" t="n">
        <v>44402.56565972222</v>
      </c>
      <c r="C718" s="1" t="n">
        <v>45962</v>
      </c>
      <c r="D718" t="inlineStr">
        <is>
          <t>SKÅNE LÄN</t>
        </is>
      </c>
      <c r="E718" t="inlineStr">
        <is>
          <t>BROMÖLLA</t>
        </is>
      </c>
      <c r="G718" t="n">
        <v>2.5</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45962</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36515-2021</t>
        </is>
      </c>
      <c r="B720" s="1" t="n">
        <v>44390</v>
      </c>
      <c r="C720" s="1" t="n">
        <v>45962</v>
      </c>
      <c r="D720" t="inlineStr">
        <is>
          <t>SKÅNE LÄN</t>
        </is>
      </c>
      <c r="E720" t="inlineStr">
        <is>
          <t>OSBY</t>
        </is>
      </c>
      <c r="G720" t="n">
        <v>4.3</v>
      </c>
      <c r="H720" t="n">
        <v>0</v>
      </c>
      <c r="I720" t="n">
        <v>0</v>
      </c>
      <c r="J720" t="n">
        <v>0</v>
      </c>
      <c r="K720" t="n">
        <v>0</v>
      </c>
      <c r="L720" t="n">
        <v>0</v>
      </c>
      <c r="M720" t="n">
        <v>0</v>
      </c>
      <c r="N720" t="n">
        <v>0</v>
      </c>
      <c r="O720" t="n">
        <v>0</v>
      </c>
      <c r="P720" t="n">
        <v>0</v>
      </c>
      <c r="Q720" t="n">
        <v>0</v>
      </c>
      <c r="R720" s="2" t="inlineStr"/>
    </row>
    <row r="721" ht="15" customHeight="1">
      <c r="A721" t="inlineStr">
        <is>
          <t>A 44166-2021</t>
        </is>
      </c>
      <c r="B721" s="1" t="n">
        <v>44434</v>
      </c>
      <c r="C721" s="1" t="n">
        <v>45962</v>
      </c>
      <c r="D721" t="inlineStr">
        <is>
          <t>SKÅNE LÄN</t>
        </is>
      </c>
      <c r="E721" t="inlineStr">
        <is>
          <t>HÖÖR</t>
        </is>
      </c>
      <c r="G721" t="n">
        <v>1.8</v>
      </c>
      <c r="H721" t="n">
        <v>0</v>
      </c>
      <c r="I721" t="n">
        <v>0</v>
      </c>
      <c r="J721" t="n">
        <v>0</v>
      </c>
      <c r="K721" t="n">
        <v>0</v>
      </c>
      <c r="L721" t="n">
        <v>0</v>
      </c>
      <c r="M721" t="n">
        <v>0</v>
      </c>
      <c r="N721" t="n">
        <v>0</v>
      </c>
      <c r="O721" t="n">
        <v>0</v>
      </c>
      <c r="P721" t="n">
        <v>0</v>
      </c>
      <c r="Q721" t="n">
        <v>0</v>
      </c>
      <c r="R721" s="2" t="inlineStr"/>
    </row>
    <row r="722" ht="15" customHeight="1">
      <c r="A722" t="inlineStr">
        <is>
          <t>A 1899-2022</t>
        </is>
      </c>
      <c r="B722" s="1" t="n">
        <v>44575.37262731481</v>
      </c>
      <c r="C722" s="1" t="n">
        <v>45962</v>
      </c>
      <c r="D722" t="inlineStr">
        <is>
          <t>SKÅNE LÄN</t>
        </is>
      </c>
      <c r="E722" t="inlineStr">
        <is>
          <t>OSBY</t>
        </is>
      </c>
      <c r="G722" t="n">
        <v>0.4</v>
      </c>
      <c r="H722" t="n">
        <v>0</v>
      </c>
      <c r="I722" t="n">
        <v>0</v>
      </c>
      <c r="J722" t="n">
        <v>0</v>
      </c>
      <c r="K722" t="n">
        <v>0</v>
      </c>
      <c r="L722" t="n">
        <v>0</v>
      </c>
      <c r="M722" t="n">
        <v>0</v>
      </c>
      <c r="N722" t="n">
        <v>0</v>
      </c>
      <c r="O722" t="n">
        <v>0</v>
      </c>
      <c r="P722" t="n">
        <v>0</v>
      </c>
      <c r="Q722" t="n">
        <v>0</v>
      </c>
      <c r="R722" s="2" t="inlineStr"/>
    </row>
    <row r="723" ht="15" customHeight="1">
      <c r="A723" t="inlineStr">
        <is>
          <t>A 45349-2022</t>
        </is>
      </c>
      <c r="B723" s="1" t="n">
        <v>44844.6118287037</v>
      </c>
      <c r="C723" s="1" t="n">
        <v>45962</v>
      </c>
      <c r="D723" t="inlineStr">
        <is>
          <t>SKÅNE LÄN</t>
        </is>
      </c>
      <c r="E723" t="inlineStr">
        <is>
          <t>HÄSSLEHOLM</t>
        </is>
      </c>
      <c r="G723" t="n">
        <v>6.2</v>
      </c>
      <c r="H723" t="n">
        <v>0</v>
      </c>
      <c r="I723" t="n">
        <v>0</v>
      </c>
      <c r="J723" t="n">
        <v>0</v>
      </c>
      <c r="K723" t="n">
        <v>0</v>
      </c>
      <c r="L723" t="n">
        <v>0</v>
      </c>
      <c r="M723" t="n">
        <v>0</v>
      </c>
      <c r="N723" t="n">
        <v>0</v>
      </c>
      <c r="O723" t="n">
        <v>0</v>
      </c>
      <c r="P723" t="n">
        <v>0</v>
      </c>
      <c r="Q723" t="n">
        <v>0</v>
      </c>
      <c r="R723" s="2" t="inlineStr"/>
    </row>
    <row r="724" ht="15" customHeight="1">
      <c r="A724" t="inlineStr">
        <is>
          <t>A 8111-2022</t>
        </is>
      </c>
      <c r="B724" s="1" t="n">
        <v>44607</v>
      </c>
      <c r="C724" s="1" t="n">
        <v>45962</v>
      </c>
      <c r="D724" t="inlineStr">
        <is>
          <t>SKÅNE LÄN</t>
        </is>
      </c>
      <c r="E724" t="inlineStr">
        <is>
          <t>ÖRKELLJUNGA</t>
        </is>
      </c>
      <c r="F724" t="inlineStr">
        <is>
          <t>Kyrkan</t>
        </is>
      </c>
      <c r="G724" t="n">
        <v>1.1</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45962</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45962</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45962</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45962</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15330-2021</t>
        </is>
      </c>
      <c r="B729" s="1" t="n">
        <v>44284.6778125</v>
      </c>
      <c r="C729" s="1" t="n">
        <v>45962</v>
      </c>
      <c r="D729" t="inlineStr">
        <is>
          <t>SKÅNE LÄN</t>
        </is>
      </c>
      <c r="E729" t="inlineStr">
        <is>
          <t>HÖÖR</t>
        </is>
      </c>
      <c r="G729" t="n">
        <v>0.6</v>
      </c>
      <c r="H729" t="n">
        <v>0</v>
      </c>
      <c r="I729" t="n">
        <v>0</v>
      </c>
      <c r="J729" t="n">
        <v>0</v>
      </c>
      <c r="K729" t="n">
        <v>0</v>
      </c>
      <c r="L729" t="n">
        <v>0</v>
      </c>
      <c r="M729" t="n">
        <v>0</v>
      </c>
      <c r="N729" t="n">
        <v>0</v>
      </c>
      <c r="O729" t="n">
        <v>0</v>
      </c>
      <c r="P729" t="n">
        <v>0</v>
      </c>
      <c r="Q729" t="n">
        <v>0</v>
      </c>
      <c r="R729" s="2" t="inlineStr"/>
    </row>
    <row r="730" ht="15" customHeight="1">
      <c r="A730" t="inlineStr">
        <is>
          <t>A 51318-2021</t>
        </is>
      </c>
      <c r="B730" s="1" t="n">
        <v>44461</v>
      </c>
      <c r="C730" s="1" t="n">
        <v>45962</v>
      </c>
      <c r="D730" t="inlineStr">
        <is>
          <t>SKÅNE LÄN</t>
        </is>
      </c>
      <c r="E730" t="inlineStr">
        <is>
          <t>KRISTIANSTAD</t>
        </is>
      </c>
      <c r="G730" t="n">
        <v>1.1</v>
      </c>
      <c r="H730" t="n">
        <v>0</v>
      </c>
      <c r="I730" t="n">
        <v>0</v>
      </c>
      <c r="J730" t="n">
        <v>0</v>
      </c>
      <c r="K730" t="n">
        <v>0</v>
      </c>
      <c r="L730" t="n">
        <v>0</v>
      </c>
      <c r="M730" t="n">
        <v>0</v>
      </c>
      <c r="N730" t="n">
        <v>0</v>
      </c>
      <c r="O730" t="n">
        <v>0</v>
      </c>
      <c r="P730" t="n">
        <v>0</v>
      </c>
      <c r="Q730" t="n">
        <v>0</v>
      </c>
      <c r="R730" s="2" t="inlineStr"/>
    </row>
    <row r="731" ht="15" customHeight="1">
      <c r="A731" t="inlineStr">
        <is>
          <t>A 43639-2021</t>
        </is>
      </c>
      <c r="B731" s="1" t="n">
        <v>44433</v>
      </c>
      <c r="C731" s="1" t="n">
        <v>45962</v>
      </c>
      <c r="D731" t="inlineStr">
        <is>
          <t>SKÅNE LÄN</t>
        </is>
      </c>
      <c r="E731" t="inlineStr">
        <is>
          <t>HÄSSLEHOLM</t>
        </is>
      </c>
      <c r="G731" t="n">
        <v>0.4</v>
      </c>
      <c r="H731" t="n">
        <v>0</v>
      </c>
      <c r="I731" t="n">
        <v>0</v>
      </c>
      <c r="J731" t="n">
        <v>0</v>
      </c>
      <c r="K731" t="n">
        <v>0</v>
      </c>
      <c r="L731" t="n">
        <v>0</v>
      </c>
      <c r="M731" t="n">
        <v>0</v>
      </c>
      <c r="N731" t="n">
        <v>0</v>
      </c>
      <c r="O731" t="n">
        <v>0</v>
      </c>
      <c r="P731" t="n">
        <v>0</v>
      </c>
      <c r="Q731" t="n">
        <v>0</v>
      </c>
      <c r="R731" s="2" t="inlineStr"/>
    </row>
    <row r="732" ht="15" customHeight="1">
      <c r="A732" t="inlineStr">
        <is>
          <t>A 61263-2021</t>
        </is>
      </c>
      <c r="B732" s="1" t="n">
        <v>44498.5819212963</v>
      </c>
      <c r="C732" s="1" t="n">
        <v>45962</v>
      </c>
      <c r="D732" t="inlineStr">
        <is>
          <t>SKÅNE LÄN</t>
        </is>
      </c>
      <c r="E732" t="inlineStr">
        <is>
          <t>ÄNGELHOLM</t>
        </is>
      </c>
      <c r="G732" t="n">
        <v>1.1</v>
      </c>
      <c r="H732" t="n">
        <v>0</v>
      </c>
      <c r="I732" t="n">
        <v>0</v>
      </c>
      <c r="J732" t="n">
        <v>0</v>
      </c>
      <c r="K732" t="n">
        <v>0</v>
      </c>
      <c r="L732" t="n">
        <v>0</v>
      </c>
      <c r="M732" t="n">
        <v>0</v>
      </c>
      <c r="N732" t="n">
        <v>0</v>
      </c>
      <c r="O732" t="n">
        <v>0</v>
      </c>
      <c r="P732" t="n">
        <v>0</v>
      </c>
      <c r="Q732" t="n">
        <v>0</v>
      </c>
      <c r="R732" s="2" t="inlineStr"/>
    </row>
    <row r="733" ht="15" customHeight="1">
      <c r="A733" t="inlineStr">
        <is>
          <t>A 61269-2021</t>
        </is>
      </c>
      <c r="B733" s="1" t="n">
        <v>44498.58678240741</v>
      </c>
      <c r="C733" s="1" t="n">
        <v>45962</v>
      </c>
      <c r="D733" t="inlineStr">
        <is>
          <t>SKÅNE LÄN</t>
        </is>
      </c>
      <c r="E733" t="inlineStr">
        <is>
          <t>ÄNGELHOLM</t>
        </is>
      </c>
      <c r="G733" t="n">
        <v>1.3</v>
      </c>
      <c r="H733" t="n">
        <v>0</v>
      </c>
      <c r="I733" t="n">
        <v>0</v>
      </c>
      <c r="J733" t="n">
        <v>0</v>
      </c>
      <c r="K733" t="n">
        <v>0</v>
      </c>
      <c r="L733" t="n">
        <v>0</v>
      </c>
      <c r="M733" t="n">
        <v>0</v>
      </c>
      <c r="N733" t="n">
        <v>0</v>
      </c>
      <c r="O733" t="n">
        <v>0</v>
      </c>
      <c r="P733" t="n">
        <v>0</v>
      </c>
      <c r="Q733" t="n">
        <v>0</v>
      </c>
      <c r="R733" s="2" t="inlineStr"/>
    </row>
    <row r="734" ht="15" customHeight="1">
      <c r="A734" t="inlineStr">
        <is>
          <t>A 56734-2020</t>
        </is>
      </c>
      <c r="B734" s="1" t="n">
        <v>44137</v>
      </c>
      <c r="C734" s="1" t="n">
        <v>45962</v>
      </c>
      <c r="D734" t="inlineStr">
        <is>
          <t>SKÅNE LÄN</t>
        </is>
      </c>
      <c r="E734" t="inlineStr">
        <is>
          <t>OSBY</t>
        </is>
      </c>
      <c r="G734" t="n">
        <v>0.8</v>
      </c>
      <c r="H734" t="n">
        <v>0</v>
      </c>
      <c r="I734" t="n">
        <v>0</v>
      </c>
      <c r="J734" t="n">
        <v>0</v>
      </c>
      <c r="K734" t="n">
        <v>0</v>
      </c>
      <c r="L734" t="n">
        <v>0</v>
      </c>
      <c r="M734" t="n">
        <v>0</v>
      </c>
      <c r="N734" t="n">
        <v>0</v>
      </c>
      <c r="O734" t="n">
        <v>0</v>
      </c>
      <c r="P734" t="n">
        <v>0</v>
      </c>
      <c r="Q734" t="n">
        <v>0</v>
      </c>
      <c r="R734" s="2" t="inlineStr"/>
    </row>
    <row r="735" ht="15" customHeight="1">
      <c r="A735" t="inlineStr">
        <is>
          <t>A 45443-2021</t>
        </is>
      </c>
      <c r="B735" s="1" t="n">
        <v>44440.43105324074</v>
      </c>
      <c r="C735" s="1" t="n">
        <v>45962</v>
      </c>
      <c r="D735" t="inlineStr">
        <is>
          <t>SKÅNE LÄN</t>
        </is>
      </c>
      <c r="E735" t="inlineStr">
        <is>
          <t>ÖRKELLJUNGA</t>
        </is>
      </c>
      <c r="G735" t="n">
        <v>3.6</v>
      </c>
      <c r="H735" t="n">
        <v>0</v>
      </c>
      <c r="I735" t="n">
        <v>0</v>
      </c>
      <c r="J735" t="n">
        <v>0</v>
      </c>
      <c r="K735" t="n">
        <v>0</v>
      </c>
      <c r="L735" t="n">
        <v>0</v>
      </c>
      <c r="M735" t="n">
        <v>0</v>
      </c>
      <c r="N735" t="n">
        <v>0</v>
      </c>
      <c r="O735" t="n">
        <v>0</v>
      </c>
      <c r="P735" t="n">
        <v>0</v>
      </c>
      <c r="Q735" t="n">
        <v>0</v>
      </c>
      <c r="R735" s="2" t="inlineStr"/>
    </row>
    <row r="736" ht="15" customHeight="1">
      <c r="A736" t="inlineStr">
        <is>
          <t>A 53339-2021</t>
        </is>
      </c>
      <c r="B736" s="1" t="n">
        <v>44468</v>
      </c>
      <c r="C736" s="1" t="n">
        <v>45962</v>
      </c>
      <c r="D736" t="inlineStr">
        <is>
          <t>SKÅNE LÄN</t>
        </is>
      </c>
      <c r="E736" t="inlineStr">
        <is>
          <t>OSBY</t>
        </is>
      </c>
      <c r="G736" t="n">
        <v>7</v>
      </c>
      <c r="H736" t="n">
        <v>0</v>
      </c>
      <c r="I736" t="n">
        <v>0</v>
      </c>
      <c r="J736" t="n">
        <v>0</v>
      </c>
      <c r="K736" t="n">
        <v>0</v>
      </c>
      <c r="L736" t="n">
        <v>0</v>
      </c>
      <c r="M736" t="n">
        <v>0</v>
      </c>
      <c r="N736" t="n">
        <v>0</v>
      </c>
      <c r="O736" t="n">
        <v>0</v>
      </c>
      <c r="P736" t="n">
        <v>0</v>
      </c>
      <c r="Q736" t="n">
        <v>0</v>
      </c>
      <c r="R736" s="2" t="inlineStr"/>
    </row>
    <row r="737" ht="15" customHeight="1">
      <c r="A737" t="inlineStr">
        <is>
          <t>A 7701-2021</t>
        </is>
      </c>
      <c r="B737" s="1" t="n">
        <v>44242</v>
      </c>
      <c r="C737" s="1" t="n">
        <v>45962</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30195-2021</t>
        </is>
      </c>
      <c r="B738" s="1" t="n">
        <v>44363</v>
      </c>
      <c r="C738" s="1" t="n">
        <v>45962</v>
      </c>
      <c r="D738" t="inlineStr">
        <is>
          <t>SKÅNE LÄN</t>
        </is>
      </c>
      <c r="E738" t="inlineStr">
        <is>
          <t>KLIPPAN</t>
        </is>
      </c>
      <c r="G738" t="n">
        <v>0.4</v>
      </c>
      <c r="H738" t="n">
        <v>0</v>
      </c>
      <c r="I738" t="n">
        <v>0</v>
      </c>
      <c r="J738" t="n">
        <v>0</v>
      </c>
      <c r="K738" t="n">
        <v>0</v>
      </c>
      <c r="L738" t="n">
        <v>0</v>
      </c>
      <c r="M738" t="n">
        <v>0</v>
      </c>
      <c r="N738" t="n">
        <v>0</v>
      </c>
      <c r="O738" t="n">
        <v>0</v>
      </c>
      <c r="P738" t="n">
        <v>0</v>
      </c>
      <c r="Q738" t="n">
        <v>0</v>
      </c>
      <c r="R738" s="2" t="inlineStr"/>
    </row>
    <row r="739" ht="15" customHeight="1">
      <c r="A739" t="inlineStr">
        <is>
          <t>A 30753-2021</t>
        </is>
      </c>
      <c r="B739" s="1" t="n">
        <v>44365.46269675926</v>
      </c>
      <c r="C739" s="1" t="n">
        <v>45962</v>
      </c>
      <c r="D739" t="inlineStr">
        <is>
          <t>SKÅNE LÄN</t>
        </is>
      </c>
      <c r="E739" t="inlineStr">
        <is>
          <t>PERSTORP</t>
        </is>
      </c>
      <c r="G739" t="n">
        <v>0.5</v>
      </c>
      <c r="H739" t="n">
        <v>0</v>
      </c>
      <c r="I739" t="n">
        <v>0</v>
      </c>
      <c r="J739" t="n">
        <v>0</v>
      </c>
      <c r="K739" t="n">
        <v>0</v>
      </c>
      <c r="L739" t="n">
        <v>0</v>
      </c>
      <c r="M739" t="n">
        <v>0</v>
      </c>
      <c r="N739" t="n">
        <v>0</v>
      </c>
      <c r="O739" t="n">
        <v>0</v>
      </c>
      <c r="P739" t="n">
        <v>0</v>
      </c>
      <c r="Q739" t="n">
        <v>0</v>
      </c>
      <c r="R739" s="2" t="inlineStr"/>
    </row>
    <row r="740" ht="15" customHeight="1">
      <c r="A740" t="inlineStr">
        <is>
          <t>A 3276-2022</t>
        </is>
      </c>
      <c r="B740" s="1" t="n">
        <v>44584.40916666666</v>
      </c>
      <c r="C740" s="1" t="n">
        <v>45962</v>
      </c>
      <c r="D740" t="inlineStr">
        <is>
          <t>SKÅNE LÄN</t>
        </is>
      </c>
      <c r="E740" t="inlineStr">
        <is>
          <t>HÄSSLEHOLM</t>
        </is>
      </c>
      <c r="G740" t="n">
        <v>0.2</v>
      </c>
      <c r="H740" t="n">
        <v>0</v>
      </c>
      <c r="I740" t="n">
        <v>0</v>
      </c>
      <c r="J740" t="n">
        <v>0</v>
      </c>
      <c r="K740" t="n">
        <v>0</v>
      </c>
      <c r="L740" t="n">
        <v>0</v>
      </c>
      <c r="M740" t="n">
        <v>0</v>
      </c>
      <c r="N740" t="n">
        <v>0</v>
      </c>
      <c r="O740" t="n">
        <v>0</v>
      </c>
      <c r="P740" t="n">
        <v>0</v>
      </c>
      <c r="Q740" t="n">
        <v>0</v>
      </c>
      <c r="R740" s="2" t="inlineStr"/>
    </row>
    <row r="741" ht="15" customHeight="1">
      <c r="A741" t="inlineStr">
        <is>
          <t>A 52461-2021</t>
        </is>
      </c>
      <c r="B741" s="1" t="n">
        <v>44466</v>
      </c>
      <c r="C741" s="1" t="n">
        <v>45962</v>
      </c>
      <c r="D741" t="inlineStr">
        <is>
          <t>SKÅNE LÄN</t>
        </is>
      </c>
      <c r="E741" t="inlineStr">
        <is>
          <t>HÄSSLEHOLM</t>
        </is>
      </c>
      <c r="G741" t="n">
        <v>2.7</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45962</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63972-2021</t>
        </is>
      </c>
      <c r="B743" s="1" t="n">
        <v>44509.89649305555</v>
      </c>
      <c r="C743" s="1" t="n">
        <v>45962</v>
      </c>
      <c r="D743" t="inlineStr">
        <is>
          <t>SKÅNE LÄN</t>
        </is>
      </c>
      <c r="E743" t="inlineStr">
        <is>
          <t>HÄSSLEHOLM</t>
        </is>
      </c>
      <c r="G743" t="n">
        <v>0.8</v>
      </c>
      <c r="H743" t="n">
        <v>0</v>
      </c>
      <c r="I743" t="n">
        <v>0</v>
      </c>
      <c r="J743" t="n">
        <v>0</v>
      </c>
      <c r="K743" t="n">
        <v>0</v>
      </c>
      <c r="L743" t="n">
        <v>0</v>
      </c>
      <c r="M743" t="n">
        <v>0</v>
      </c>
      <c r="N743" t="n">
        <v>0</v>
      </c>
      <c r="O743" t="n">
        <v>0</v>
      </c>
      <c r="P743" t="n">
        <v>0</v>
      </c>
      <c r="Q743" t="n">
        <v>0</v>
      </c>
      <c r="R743" s="2" t="inlineStr"/>
    </row>
    <row r="744" ht="15" customHeight="1">
      <c r="A744" t="inlineStr">
        <is>
          <t>A 5856-2022</t>
        </is>
      </c>
      <c r="B744" s="1" t="n">
        <v>44596</v>
      </c>
      <c r="C744" s="1" t="n">
        <v>45962</v>
      </c>
      <c r="D744" t="inlineStr">
        <is>
          <t>SKÅNE LÄN</t>
        </is>
      </c>
      <c r="E744" t="inlineStr">
        <is>
          <t>KRISTIANSTAD</t>
        </is>
      </c>
      <c r="G744" t="n">
        <v>3.4</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45962</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66177-2020</t>
        </is>
      </c>
      <c r="B746" s="1" t="n">
        <v>44174</v>
      </c>
      <c r="C746" s="1" t="n">
        <v>45962</v>
      </c>
      <c r="D746" t="inlineStr">
        <is>
          <t>SKÅNE LÄN</t>
        </is>
      </c>
      <c r="E746" t="inlineStr">
        <is>
          <t>SJÖBO</t>
        </is>
      </c>
      <c r="G746" t="n">
        <v>3.1</v>
      </c>
      <c r="H746" t="n">
        <v>0</v>
      </c>
      <c r="I746" t="n">
        <v>0</v>
      </c>
      <c r="J746" t="n">
        <v>0</v>
      </c>
      <c r="K746" t="n">
        <v>0</v>
      </c>
      <c r="L746" t="n">
        <v>0</v>
      </c>
      <c r="M746" t="n">
        <v>0</v>
      </c>
      <c r="N746" t="n">
        <v>0</v>
      </c>
      <c r="O746" t="n">
        <v>0</v>
      </c>
      <c r="P746" t="n">
        <v>0</v>
      </c>
      <c r="Q746" t="n">
        <v>0</v>
      </c>
      <c r="R746" s="2" t="inlineStr"/>
    </row>
    <row r="747" ht="15" customHeight="1">
      <c r="A747" t="inlineStr">
        <is>
          <t>A 52625-2021</t>
        </is>
      </c>
      <c r="B747" s="1" t="n">
        <v>44466.61886574074</v>
      </c>
      <c r="C747" s="1" t="n">
        <v>45962</v>
      </c>
      <c r="D747" t="inlineStr">
        <is>
          <t>SKÅNE LÄN</t>
        </is>
      </c>
      <c r="E747" t="inlineStr">
        <is>
          <t>ÖSTRA GÖINGE</t>
        </is>
      </c>
      <c r="F747" t="inlineStr">
        <is>
          <t>Kyrkan</t>
        </is>
      </c>
      <c r="G747" t="n">
        <v>0.6</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45962</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56094-2021</t>
        </is>
      </c>
      <c r="B749" s="1" t="n">
        <v>44477</v>
      </c>
      <c r="C749" s="1" t="n">
        <v>45962</v>
      </c>
      <c r="D749" t="inlineStr">
        <is>
          <t>SKÅNE LÄN</t>
        </is>
      </c>
      <c r="E749" t="inlineStr">
        <is>
          <t>ÄNGELHOLM</t>
        </is>
      </c>
      <c r="G749" t="n">
        <v>2</v>
      </c>
      <c r="H749" t="n">
        <v>0</v>
      </c>
      <c r="I749" t="n">
        <v>0</v>
      </c>
      <c r="J749" t="n">
        <v>0</v>
      </c>
      <c r="K749" t="n">
        <v>0</v>
      </c>
      <c r="L749" t="n">
        <v>0</v>
      </c>
      <c r="M749" t="n">
        <v>0</v>
      </c>
      <c r="N749" t="n">
        <v>0</v>
      </c>
      <c r="O749" t="n">
        <v>0</v>
      </c>
      <c r="P749" t="n">
        <v>0</v>
      </c>
      <c r="Q749" t="n">
        <v>0</v>
      </c>
      <c r="R749" s="2" t="inlineStr"/>
    </row>
    <row r="750" ht="15" customHeight="1">
      <c r="A750" t="inlineStr">
        <is>
          <t>A 25881-2021</t>
        </is>
      </c>
      <c r="B750" s="1" t="n">
        <v>44344.37106481481</v>
      </c>
      <c r="C750" s="1" t="n">
        <v>45962</v>
      </c>
      <c r="D750" t="inlineStr">
        <is>
          <t>SKÅNE LÄN</t>
        </is>
      </c>
      <c r="E750" t="inlineStr">
        <is>
          <t>SIMRISHAMN</t>
        </is>
      </c>
      <c r="F750" t="inlineStr">
        <is>
          <t>Övriga Aktiebolag</t>
        </is>
      </c>
      <c r="G750" t="n">
        <v>3.7</v>
      </c>
      <c r="H750" t="n">
        <v>0</v>
      </c>
      <c r="I750" t="n">
        <v>0</v>
      </c>
      <c r="J750" t="n">
        <v>0</v>
      </c>
      <c r="K750" t="n">
        <v>0</v>
      </c>
      <c r="L750" t="n">
        <v>0</v>
      </c>
      <c r="M750" t="n">
        <v>0</v>
      </c>
      <c r="N750" t="n">
        <v>0</v>
      </c>
      <c r="O750" t="n">
        <v>0</v>
      </c>
      <c r="P750" t="n">
        <v>0</v>
      </c>
      <c r="Q750" t="n">
        <v>0</v>
      </c>
      <c r="R750" s="2" t="inlineStr"/>
    </row>
    <row r="751" ht="15" customHeight="1">
      <c r="A751" t="inlineStr">
        <is>
          <t>A 5564-2022</t>
        </is>
      </c>
      <c r="B751" s="1" t="n">
        <v>44595</v>
      </c>
      <c r="C751" s="1" t="n">
        <v>45962</v>
      </c>
      <c r="D751" t="inlineStr">
        <is>
          <t>SKÅNE LÄN</t>
        </is>
      </c>
      <c r="E751" t="inlineStr">
        <is>
          <t>HÄSSLEHOLM</t>
        </is>
      </c>
      <c r="G751" t="n">
        <v>0.3</v>
      </c>
      <c r="H751" t="n">
        <v>0</v>
      </c>
      <c r="I751" t="n">
        <v>0</v>
      </c>
      <c r="J751" t="n">
        <v>0</v>
      </c>
      <c r="K751" t="n">
        <v>0</v>
      </c>
      <c r="L751" t="n">
        <v>0</v>
      </c>
      <c r="M751" t="n">
        <v>0</v>
      </c>
      <c r="N751" t="n">
        <v>0</v>
      </c>
      <c r="O751" t="n">
        <v>0</v>
      </c>
      <c r="P751" t="n">
        <v>0</v>
      </c>
      <c r="Q751" t="n">
        <v>0</v>
      </c>
      <c r="R751" s="2" t="inlineStr"/>
    </row>
    <row r="752" ht="15" customHeight="1">
      <c r="A752" t="inlineStr">
        <is>
          <t>A 5569-2022</t>
        </is>
      </c>
      <c r="B752" s="1" t="n">
        <v>44595.65876157407</v>
      </c>
      <c r="C752" s="1" t="n">
        <v>45962</v>
      </c>
      <c r="D752" t="inlineStr">
        <is>
          <t>SKÅNE LÄN</t>
        </is>
      </c>
      <c r="E752" t="inlineStr">
        <is>
          <t>OSBY</t>
        </is>
      </c>
      <c r="G752" t="n">
        <v>1.2</v>
      </c>
      <c r="H752" t="n">
        <v>0</v>
      </c>
      <c r="I752" t="n">
        <v>0</v>
      </c>
      <c r="J752" t="n">
        <v>0</v>
      </c>
      <c r="K752" t="n">
        <v>0</v>
      </c>
      <c r="L752" t="n">
        <v>0</v>
      </c>
      <c r="M752" t="n">
        <v>0</v>
      </c>
      <c r="N752" t="n">
        <v>0</v>
      </c>
      <c r="O752" t="n">
        <v>0</v>
      </c>
      <c r="P752" t="n">
        <v>0</v>
      </c>
      <c r="Q752" t="n">
        <v>0</v>
      </c>
      <c r="R752" s="2" t="inlineStr"/>
    </row>
    <row r="753" ht="15" customHeight="1">
      <c r="A753" t="inlineStr">
        <is>
          <t>A 37334-2021</t>
        </is>
      </c>
      <c r="B753" s="1" t="n">
        <v>44397.57800925926</v>
      </c>
      <c r="C753" s="1" t="n">
        <v>45962</v>
      </c>
      <c r="D753" t="inlineStr">
        <is>
          <t>SKÅNE LÄN</t>
        </is>
      </c>
      <c r="E753" t="inlineStr">
        <is>
          <t>HÄSSLEHOLM</t>
        </is>
      </c>
      <c r="G753" t="n">
        <v>0.7</v>
      </c>
      <c r="H753" t="n">
        <v>0</v>
      </c>
      <c r="I753" t="n">
        <v>0</v>
      </c>
      <c r="J753" t="n">
        <v>0</v>
      </c>
      <c r="K753" t="n">
        <v>0</v>
      </c>
      <c r="L753" t="n">
        <v>0</v>
      </c>
      <c r="M753" t="n">
        <v>0</v>
      </c>
      <c r="N753" t="n">
        <v>0</v>
      </c>
      <c r="O753" t="n">
        <v>0</v>
      </c>
      <c r="P753" t="n">
        <v>0</v>
      </c>
      <c r="Q753" t="n">
        <v>0</v>
      </c>
      <c r="R753" s="2" t="inlineStr"/>
    </row>
    <row r="754" ht="15" customHeight="1">
      <c r="A754" t="inlineStr">
        <is>
          <t>A 24384-2021</t>
        </is>
      </c>
      <c r="B754" s="1" t="n">
        <v>44337</v>
      </c>
      <c r="C754" s="1" t="n">
        <v>45962</v>
      </c>
      <c r="D754" t="inlineStr">
        <is>
          <t>SKÅNE LÄN</t>
        </is>
      </c>
      <c r="E754" t="inlineStr">
        <is>
          <t>ESLÖV</t>
        </is>
      </c>
      <c r="G754" t="n">
        <v>0.4</v>
      </c>
      <c r="H754" t="n">
        <v>0</v>
      </c>
      <c r="I754" t="n">
        <v>0</v>
      </c>
      <c r="J754" t="n">
        <v>0</v>
      </c>
      <c r="K754" t="n">
        <v>0</v>
      </c>
      <c r="L754" t="n">
        <v>0</v>
      </c>
      <c r="M754" t="n">
        <v>0</v>
      </c>
      <c r="N754" t="n">
        <v>0</v>
      </c>
      <c r="O754" t="n">
        <v>0</v>
      </c>
      <c r="P754" t="n">
        <v>0</v>
      </c>
      <c r="Q754" t="n">
        <v>0</v>
      </c>
      <c r="R754" s="2" t="inlineStr"/>
    </row>
    <row r="755" ht="15" customHeight="1">
      <c r="A755" t="inlineStr">
        <is>
          <t>A 21535-2021</t>
        </is>
      </c>
      <c r="B755" s="1" t="n">
        <v>44321</v>
      </c>
      <c r="C755" s="1" t="n">
        <v>45962</v>
      </c>
      <c r="D755" t="inlineStr">
        <is>
          <t>SKÅNE LÄN</t>
        </is>
      </c>
      <c r="E755" t="inlineStr">
        <is>
          <t>HÄSSLEHOLM</t>
        </is>
      </c>
      <c r="G755" t="n">
        <v>2.8</v>
      </c>
      <c r="H755" t="n">
        <v>0</v>
      </c>
      <c r="I755" t="n">
        <v>0</v>
      </c>
      <c r="J755" t="n">
        <v>0</v>
      </c>
      <c r="K755" t="n">
        <v>0</v>
      </c>
      <c r="L755" t="n">
        <v>0</v>
      </c>
      <c r="M755" t="n">
        <v>0</v>
      </c>
      <c r="N755" t="n">
        <v>0</v>
      </c>
      <c r="O755" t="n">
        <v>0</v>
      </c>
      <c r="P755" t="n">
        <v>0</v>
      </c>
      <c r="Q755" t="n">
        <v>0</v>
      </c>
      <c r="R755" s="2" t="inlineStr"/>
    </row>
    <row r="756" ht="15" customHeight="1">
      <c r="A756" t="inlineStr">
        <is>
          <t>A 20659-2021</t>
        </is>
      </c>
      <c r="B756" s="1" t="n">
        <v>44316</v>
      </c>
      <c r="C756" s="1" t="n">
        <v>45962</v>
      </c>
      <c r="D756" t="inlineStr">
        <is>
          <t>SKÅNE LÄN</t>
        </is>
      </c>
      <c r="E756" t="inlineStr">
        <is>
          <t>HÄSSLEHOLM</t>
        </is>
      </c>
      <c r="G756" t="n">
        <v>2.8</v>
      </c>
      <c r="H756" t="n">
        <v>0</v>
      </c>
      <c r="I756" t="n">
        <v>0</v>
      </c>
      <c r="J756" t="n">
        <v>0</v>
      </c>
      <c r="K756" t="n">
        <v>0</v>
      </c>
      <c r="L756" t="n">
        <v>0</v>
      </c>
      <c r="M756" t="n">
        <v>0</v>
      </c>
      <c r="N756" t="n">
        <v>0</v>
      </c>
      <c r="O756" t="n">
        <v>0</v>
      </c>
      <c r="P756" t="n">
        <v>0</v>
      </c>
      <c r="Q756" t="n">
        <v>0</v>
      </c>
      <c r="R756" s="2" t="inlineStr"/>
    </row>
    <row r="757" ht="15" customHeight="1">
      <c r="A757" t="inlineStr">
        <is>
          <t>A 70802-2021</t>
        </is>
      </c>
      <c r="B757" s="1" t="n">
        <v>44537.84666666666</v>
      </c>
      <c r="C757" s="1" t="n">
        <v>45962</v>
      </c>
      <c r="D757" t="inlineStr">
        <is>
          <t>SKÅNE LÄN</t>
        </is>
      </c>
      <c r="E757" t="inlineStr">
        <is>
          <t>ÖRKELLJUNGA</t>
        </is>
      </c>
      <c r="G757" t="n">
        <v>0.6</v>
      </c>
      <c r="H757" t="n">
        <v>0</v>
      </c>
      <c r="I757" t="n">
        <v>0</v>
      </c>
      <c r="J757" t="n">
        <v>0</v>
      </c>
      <c r="K757" t="n">
        <v>0</v>
      </c>
      <c r="L757" t="n">
        <v>0</v>
      </c>
      <c r="M757" t="n">
        <v>0</v>
      </c>
      <c r="N757" t="n">
        <v>0</v>
      </c>
      <c r="O757" t="n">
        <v>0</v>
      </c>
      <c r="P757" t="n">
        <v>0</v>
      </c>
      <c r="Q757" t="n">
        <v>0</v>
      </c>
      <c r="R757" s="2" t="inlineStr"/>
    </row>
    <row r="758" ht="15" customHeight="1">
      <c r="A758" t="inlineStr">
        <is>
          <t>A 27914-2021</t>
        </is>
      </c>
      <c r="B758" s="1" t="n">
        <v>44354</v>
      </c>
      <c r="C758" s="1" t="n">
        <v>45962</v>
      </c>
      <c r="D758" t="inlineStr">
        <is>
          <t>SKÅNE LÄN</t>
        </is>
      </c>
      <c r="E758" t="inlineStr">
        <is>
          <t>OSBY</t>
        </is>
      </c>
      <c r="G758" t="n">
        <v>1.1</v>
      </c>
      <c r="H758" t="n">
        <v>0</v>
      </c>
      <c r="I758" t="n">
        <v>0</v>
      </c>
      <c r="J758" t="n">
        <v>0</v>
      </c>
      <c r="K758" t="n">
        <v>0</v>
      </c>
      <c r="L758" t="n">
        <v>0</v>
      </c>
      <c r="M758" t="n">
        <v>0</v>
      </c>
      <c r="N758" t="n">
        <v>0</v>
      </c>
      <c r="O758" t="n">
        <v>0</v>
      </c>
      <c r="P758" t="n">
        <v>0</v>
      </c>
      <c r="Q758" t="n">
        <v>0</v>
      </c>
      <c r="R758" s="2" t="inlineStr"/>
    </row>
    <row r="759" ht="15" customHeight="1">
      <c r="A759" t="inlineStr">
        <is>
          <t>A 34027-2021</t>
        </is>
      </c>
      <c r="B759" s="1" t="n">
        <v>44379</v>
      </c>
      <c r="C759" s="1" t="n">
        <v>45962</v>
      </c>
      <c r="D759" t="inlineStr">
        <is>
          <t>SKÅNE LÄN</t>
        </is>
      </c>
      <c r="E759" t="inlineStr">
        <is>
          <t>HÄSSLEHOLM</t>
        </is>
      </c>
      <c r="G759" t="n">
        <v>0.8</v>
      </c>
      <c r="H759" t="n">
        <v>0</v>
      </c>
      <c r="I759" t="n">
        <v>0</v>
      </c>
      <c r="J759" t="n">
        <v>0</v>
      </c>
      <c r="K759" t="n">
        <v>0</v>
      </c>
      <c r="L759" t="n">
        <v>0</v>
      </c>
      <c r="M759" t="n">
        <v>0</v>
      </c>
      <c r="N759" t="n">
        <v>0</v>
      </c>
      <c r="O759" t="n">
        <v>0</v>
      </c>
      <c r="P759" t="n">
        <v>0</v>
      </c>
      <c r="Q759" t="n">
        <v>0</v>
      </c>
      <c r="R759" s="2" t="inlineStr"/>
    </row>
    <row r="760" ht="15" customHeight="1">
      <c r="A760" t="inlineStr">
        <is>
          <t>A 64703-2020</t>
        </is>
      </c>
      <c r="B760" s="1" t="n">
        <v>44169</v>
      </c>
      <c r="C760" s="1" t="n">
        <v>45962</v>
      </c>
      <c r="D760" t="inlineStr">
        <is>
          <t>SKÅNE LÄN</t>
        </is>
      </c>
      <c r="E760" t="inlineStr">
        <is>
          <t>ÖSTRA GÖINGE</t>
        </is>
      </c>
      <c r="G760" t="n">
        <v>0.3</v>
      </c>
      <c r="H760" t="n">
        <v>0</v>
      </c>
      <c r="I760" t="n">
        <v>0</v>
      </c>
      <c r="J760" t="n">
        <v>0</v>
      </c>
      <c r="K760" t="n">
        <v>0</v>
      </c>
      <c r="L760" t="n">
        <v>0</v>
      </c>
      <c r="M760" t="n">
        <v>0</v>
      </c>
      <c r="N760" t="n">
        <v>0</v>
      </c>
      <c r="O760" t="n">
        <v>0</v>
      </c>
      <c r="P760" t="n">
        <v>0</v>
      </c>
      <c r="Q760" t="n">
        <v>0</v>
      </c>
      <c r="R760" s="2" t="inlineStr"/>
    </row>
    <row r="761" ht="15" customHeight="1">
      <c r="A761" t="inlineStr">
        <is>
          <t>A 29710-2021</t>
        </is>
      </c>
      <c r="B761" s="1" t="n">
        <v>44362</v>
      </c>
      <c r="C761" s="1" t="n">
        <v>45962</v>
      </c>
      <c r="D761" t="inlineStr">
        <is>
          <t>SKÅNE LÄN</t>
        </is>
      </c>
      <c r="E761" t="inlineStr">
        <is>
          <t>KRISTIANSTAD</t>
        </is>
      </c>
      <c r="G761" t="n">
        <v>0.4</v>
      </c>
      <c r="H761" t="n">
        <v>0</v>
      </c>
      <c r="I761" t="n">
        <v>0</v>
      </c>
      <c r="J761" t="n">
        <v>0</v>
      </c>
      <c r="K761" t="n">
        <v>0</v>
      </c>
      <c r="L761" t="n">
        <v>0</v>
      </c>
      <c r="M761" t="n">
        <v>0</v>
      </c>
      <c r="N761" t="n">
        <v>0</v>
      </c>
      <c r="O761" t="n">
        <v>0</v>
      </c>
      <c r="P761" t="n">
        <v>0</v>
      </c>
      <c r="Q761" t="n">
        <v>0</v>
      </c>
      <c r="R761" s="2" t="inlineStr"/>
    </row>
    <row r="762" ht="15" customHeight="1">
      <c r="A762" t="inlineStr">
        <is>
          <t>A 32735-2021</t>
        </is>
      </c>
      <c r="B762" s="1" t="n">
        <v>44375</v>
      </c>
      <c r="C762" s="1" t="n">
        <v>45962</v>
      </c>
      <c r="D762" t="inlineStr">
        <is>
          <t>SKÅNE LÄN</t>
        </is>
      </c>
      <c r="E762" t="inlineStr">
        <is>
          <t>ÄNGELHOLM</t>
        </is>
      </c>
      <c r="G762" t="n">
        <v>2.3</v>
      </c>
      <c r="H762" t="n">
        <v>0</v>
      </c>
      <c r="I762" t="n">
        <v>0</v>
      </c>
      <c r="J762" t="n">
        <v>0</v>
      </c>
      <c r="K762" t="n">
        <v>0</v>
      </c>
      <c r="L762" t="n">
        <v>0</v>
      </c>
      <c r="M762" t="n">
        <v>0</v>
      </c>
      <c r="N762" t="n">
        <v>0</v>
      </c>
      <c r="O762" t="n">
        <v>0</v>
      </c>
      <c r="P762" t="n">
        <v>0</v>
      </c>
      <c r="Q762" t="n">
        <v>0</v>
      </c>
      <c r="R762" s="2" t="inlineStr"/>
    </row>
    <row r="763" ht="15" customHeight="1">
      <c r="A763" t="inlineStr">
        <is>
          <t>A 32792-2021</t>
        </is>
      </c>
      <c r="B763" s="1" t="n">
        <v>44375</v>
      </c>
      <c r="C763" s="1" t="n">
        <v>45962</v>
      </c>
      <c r="D763" t="inlineStr">
        <is>
          <t>SKÅNE LÄN</t>
        </is>
      </c>
      <c r="E763" t="inlineStr">
        <is>
          <t>HÄSSLEHOLM</t>
        </is>
      </c>
      <c r="G763" t="n">
        <v>1</v>
      </c>
      <c r="H763" t="n">
        <v>0</v>
      </c>
      <c r="I763" t="n">
        <v>0</v>
      </c>
      <c r="J763" t="n">
        <v>0</v>
      </c>
      <c r="K763" t="n">
        <v>0</v>
      </c>
      <c r="L763" t="n">
        <v>0</v>
      </c>
      <c r="M763" t="n">
        <v>0</v>
      </c>
      <c r="N763" t="n">
        <v>0</v>
      </c>
      <c r="O763" t="n">
        <v>0</v>
      </c>
      <c r="P763" t="n">
        <v>0</v>
      </c>
      <c r="Q763" t="n">
        <v>0</v>
      </c>
      <c r="R763" s="2" t="inlineStr"/>
    </row>
    <row r="764" ht="15" customHeight="1">
      <c r="A764" t="inlineStr">
        <is>
          <t>A 3167-2022</t>
        </is>
      </c>
      <c r="B764" s="1" t="n">
        <v>44582</v>
      </c>
      <c r="C764" s="1" t="n">
        <v>45962</v>
      </c>
      <c r="D764" t="inlineStr">
        <is>
          <t>SKÅNE LÄN</t>
        </is>
      </c>
      <c r="E764" t="inlineStr">
        <is>
          <t>HÄSSLEHOLM</t>
        </is>
      </c>
      <c r="F764" t="inlineStr">
        <is>
          <t>Kommuner</t>
        </is>
      </c>
      <c r="G764" t="n">
        <v>1.5</v>
      </c>
      <c r="H764" t="n">
        <v>0</v>
      </c>
      <c r="I764" t="n">
        <v>0</v>
      </c>
      <c r="J764" t="n">
        <v>0</v>
      </c>
      <c r="K764" t="n">
        <v>0</v>
      </c>
      <c r="L764" t="n">
        <v>0</v>
      </c>
      <c r="M764" t="n">
        <v>0</v>
      </c>
      <c r="N764" t="n">
        <v>0</v>
      </c>
      <c r="O764" t="n">
        <v>0</v>
      </c>
      <c r="P764" t="n">
        <v>0</v>
      </c>
      <c r="Q764" t="n">
        <v>0</v>
      </c>
      <c r="R764" s="2" t="inlineStr"/>
    </row>
    <row r="765" ht="15" customHeight="1">
      <c r="A765" t="inlineStr">
        <is>
          <t>A 61495-2021</t>
        </is>
      </c>
      <c r="B765" s="1" t="n">
        <v>44501</v>
      </c>
      <c r="C765" s="1" t="n">
        <v>45962</v>
      </c>
      <c r="D765" t="inlineStr">
        <is>
          <t>SKÅNE LÄN</t>
        </is>
      </c>
      <c r="E765" t="inlineStr">
        <is>
          <t>SVALÖV</t>
        </is>
      </c>
      <c r="G765" t="n">
        <v>1.1</v>
      </c>
      <c r="H765" t="n">
        <v>0</v>
      </c>
      <c r="I765" t="n">
        <v>0</v>
      </c>
      <c r="J765" t="n">
        <v>0</v>
      </c>
      <c r="K765" t="n">
        <v>0</v>
      </c>
      <c r="L765" t="n">
        <v>0</v>
      </c>
      <c r="M765" t="n">
        <v>0</v>
      </c>
      <c r="N765" t="n">
        <v>0</v>
      </c>
      <c r="O765" t="n">
        <v>0</v>
      </c>
      <c r="P765" t="n">
        <v>0</v>
      </c>
      <c r="Q765" t="n">
        <v>0</v>
      </c>
      <c r="R765" s="2" t="inlineStr"/>
    </row>
    <row r="766" ht="15" customHeight="1">
      <c r="A766" t="inlineStr">
        <is>
          <t>A 58346-2021</t>
        </is>
      </c>
      <c r="B766" s="1" t="n">
        <v>44487</v>
      </c>
      <c r="C766" s="1" t="n">
        <v>45962</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33736-2021</t>
        </is>
      </c>
      <c r="B767" s="1" t="n">
        <v>44378</v>
      </c>
      <c r="C767" s="1" t="n">
        <v>45962</v>
      </c>
      <c r="D767" t="inlineStr">
        <is>
          <t>SKÅNE LÄN</t>
        </is>
      </c>
      <c r="E767" t="inlineStr">
        <is>
          <t>HÄSSLEHOLM</t>
        </is>
      </c>
      <c r="G767" t="n">
        <v>7.6</v>
      </c>
      <c r="H767" t="n">
        <v>0</v>
      </c>
      <c r="I767" t="n">
        <v>0</v>
      </c>
      <c r="J767" t="n">
        <v>0</v>
      </c>
      <c r="K767" t="n">
        <v>0</v>
      </c>
      <c r="L767" t="n">
        <v>0</v>
      </c>
      <c r="M767" t="n">
        <v>0</v>
      </c>
      <c r="N767" t="n">
        <v>0</v>
      </c>
      <c r="O767" t="n">
        <v>0</v>
      </c>
      <c r="P767" t="n">
        <v>0</v>
      </c>
      <c r="Q767" t="n">
        <v>0</v>
      </c>
      <c r="R767" s="2" t="inlineStr"/>
    </row>
    <row r="768" ht="15" customHeight="1">
      <c r="A768" t="inlineStr">
        <is>
          <t>A 65644-2021</t>
        </is>
      </c>
      <c r="B768" s="1" t="n">
        <v>44516</v>
      </c>
      <c r="C768" s="1" t="n">
        <v>45962</v>
      </c>
      <c r="D768" t="inlineStr">
        <is>
          <t>SKÅNE LÄN</t>
        </is>
      </c>
      <c r="E768" t="inlineStr">
        <is>
          <t>OSBY</t>
        </is>
      </c>
      <c r="G768" t="n">
        <v>6.4</v>
      </c>
      <c r="H768" t="n">
        <v>0</v>
      </c>
      <c r="I768" t="n">
        <v>0</v>
      </c>
      <c r="J768" t="n">
        <v>0</v>
      </c>
      <c r="K768" t="n">
        <v>0</v>
      </c>
      <c r="L768" t="n">
        <v>0</v>
      </c>
      <c r="M768" t="n">
        <v>0</v>
      </c>
      <c r="N768" t="n">
        <v>0</v>
      </c>
      <c r="O768" t="n">
        <v>0</v>
      </c>
      <c r="P768" t="n">
        <v>0</v>
      </c>
      <c r="Q768" t="n">
        <v>0</v>
      </c>
      <c r="R768" s="2" t="inlineStr"/>
    </row>
    <row r="769" ht="15" customHeight="1">
      <c r="A769" t="inlineStr">
        <is>
          <t>A 72746-2021</t>
        </is>
      </c>
      <c r="B769" s="1" t="n">
        <v>44546.87743055556</v>
      </c>
      <c r="C769" s="1" t="n">
        <v>45962</v>
      </c>
      <c r="D769" t="inlineStr">
        <is>
          <t>SKÅNE LÄN</t>
        </is>
      </c>
      <c r="E769" t="inlineStr">
        <is>
          <t>ÖSTRA GÖINGE</t>
        </is>
      </c>
      <c r="G769" t="n">
        <v>0.6</v>
      </c>
      <c r="H769" t="n">
        <v>0</v>
      </c>
      <c r="I769" t="n">
        <v>0</v>
      </c>
      <c r="J769" t="n">
        <v>0</v>
      </c>
      <c r="K769" t="n">
        <v>0</v>
      </c>
      <c r="L769" t="n">
        <v>0</v>
      </c>
      <c r="M769" t="n">
        <v>0</v>
      </c>
      <c r="N769" t="n">
        <v>0</v>
      </c>
      <c r="O769" t="n">
        <v>0</v>
      </c>
      <c r="P769" t="n">
        <v>0</v>
      </c>
      <c r="Q769" t="n">
        <v>0</v>
      </c>
      <c r="R769" s="2" t="inlineStr"/>
    </row>
    <row r="770" ht="15" customHeight="1">
      <c r="A770" t="inlineStr">
        <is>
          <t>A 34120-2021</t>
        </is>
      </c>
      <c r="B770" s="1" t="n">
        <v>44379</v>
      </c>
      <c r="C770" s="1" t="n">
        <v>45962</v>
      </c>
      <c r="D770" t="inlineStr">
        <is>
          <t>SKÅNE LÄN</t>
        </is>
      </c>
      <c r="E770" t="inlineStr">
        <is>
          <t>HÖRBY</t>
        </is>
      </c>
      <c r="G770" t="n">
        <v>1.2</v>
      </c>
      <c r="H770" t="n">
        <v>0</v>
      </c>
      <c r="I770" t="n">
        <v>0</v>
      </c>
      <c r="J770" t="n">
        <v>0</v>
      </c>
      <c r="K770" t="n">
        <v>0</v>
      </c>
      <c r="L770" t="n">
        <v>0</v>
      </c>
      <c r="M770" t="n">
        <v>0</v>
      </c>
      <c r="N770" t="n">
        <v>0</v>
      </c>
      <c r="O770" t="n">
        <v>0</v>
      </c>
      <c r="P770" t="n">
        <v>0</v>
      </c>
      <c r="Q770" t="n">
        <v>0</v>
      </c>
      <c r="R770" s="2" t="inlineStr"/>
    </row>
    <row r="771" ht="15" customHeight="1">
      <c r="A771" t="inlineStr">
        <is>
          <t>A 63135-2021</t>
        </is>
      </c>
      <c r="B771" s="1" t="n">
        <v>44505.72509259259</v>
      </c>
      <c r="C771" s="1" t="n">
        <v>45962</v>
      </c>
      <c r="D771" t="inlineStr">
        <is>
          <t>SKÅNE LÄN</t>
        </is>
      </c>
      <c r="E771" t="inlineStr">
        <is>
          <t>OSBY</t>
        </is>
      </c>
      <c r="G771" t="n">
        <v>0.7</v>
      </c>
      <c r="H771" t="n">
        <v>0</v>
      </c>
      <c r="I771" t="n">
        <v>0</v>
      </c>
      <c r="J771" t="n">
        <v>0</v>
      </c>
      <c r="K771" t="n">
        <v>0</v>
      </c>
      <c r="L771" t="n">
        <v>0</v>
      </c>
      <c r="M771" t="n">
        <v>0</v>
      </c>
      <c r="N771" t="n">
        <v>0</v>
      </c>
      <c r="O771" t="n">
        <v>0</v>
      </c>
      <c r="P771" t="n">
        <v>0</v>
      </c>
      <c r="Q771" t="n">
        <v>0</v>
      </c>
      <c r="R771" s="2" t="inlineStr"/>
    </row>
    <row r="772" ht="15" customHeight="1">
      <c r="A772" t="inlineStr">
        <is>
          <t>A 34679-2021</t>
        </is>
      </c>
      <c r="B772" s="1" t="n">
        <v>44382</v>
      </c>
      <c r="C772" s="1" t="n">
        <v>45962</v>
      </c>
      <c r="D772" t="inlineStr">
        <is>
          <t>SKÅNE LÄN</t>
        </is>
      </c>
      <c r="E772" t="inlineStr">
        <is>
          <t>HÄSSLEHOLM</t>
        </is>
      </c>
      <c r="F772" t="inlineStr">
        <is>
          <t>Övriga Aktiebolag</t>
        </is>
      </c>
      <c r="G772" t="n">
        <v>1</v>
      </c>
      <c r="H772" t="n">
        <v>0</v>
      </c>
      <c r="I772" t="n">
        <v>0</v>
      </c>
      <c r="J772" t="n">
        <v>0</v>
      </c>
      <c r="K772" t="n">
        <v>0</v>
      </c>
      <c r="L772" t="n">
        <v>0</v>
      </c>
      <c r="M772" t="n">
        <v>0</v>
      </c>
      <c r="N772" t="n">
        <v>0</v>
      </c>
      <c r="O772" t="n">
        <v>0</v>
      </c>
      <c r="P772" t="n">
        <v>0</v>
      </c>
      <c r="Q772" t="n">
        <v>0</v>
      </c>
      <c r="R772" s="2" t="inlineStr"/>
    </row>
    <row r="773" ht="15" customHeight="1">
      <c r="A773" t="inlineStr">
        <is>
          <t>A 64211-2020</t>
        </is>
      </c>
      <c r="B773" s="1" t="n">
        <v>44168</v>
      </c>
      <c r="C773" s="1" t="n">
        <v>45962</v>
      </c>
      <c r="D773" t="inlineStr">
        <is>
          <t>SKÅNE LÄN</t>
        </is>
      </c>
      <c r="E773" t="inlineStr">
        <is>
          <t>HÄSSLEHOLM</t>
        </is>
      </c>
      <c r="G773" t="n">
        <v>4.1</v>
      </c>
      <c r="H773" t="n">
        <v>0</v>
      </c>
      <c r="I773" t="n">
        <v>0</v>
      </c>
      <c r="J773" t="n">
        <v>0</v>
      </c>
      <c r="K773" t="n">
        <v>0</v>
      </c>
      <c r="L773" t="n">
        <v>0</v>
      </c>
      <c r="M773" t="n">
        <v>0</v>
      </c>
      <c r="N773" t="n">
        <v>0</v>
      </c>
      <c r="O773" t="n">
        <v>0</v>
      </c>
      <c r="P773" t="n">
        <v>0</v>
      </c>
      <c r="Q773" t="n">
        <v>0</v>
      </c>
      <c r="R773" s="2" t="inlineStr"/>
    </row>
    <row r="774" ht="15" customHeight="1">
      <c r="A774" t="inlineStr">
        <is>
          <t>A 40702-2021</t>
        </is>
      </c>
      <c r="B774" s="1" t="n">
        <v>44420.61719907408</v>
      </c>
      <c r="C774" s="1" t="n">
        <v>45962</v>
      </c>
      <c r="D774" t="inlineStr">
        <is>
          <t>SKÅNE LÄN</t>
        </is>
      </c>
      <c r="E774" t="inlineStr">
        <is>
          <t>HÄSSLEHOLM</t>
        </is>
      </c>
      <c r="G774" t="n">
        <v>0.6</v>
      </c>
      <c r="H774" t="n">
        <v>0</v>
      </c>
      <c r="I774" t="n">
        <v>0</v>
      </c>
      <c r="J774" t="n">
        <v>0</v>
      </c>
      <c r="K774" t="n">
        <v>0</v>
      </c>
      <c r="L774" t="n">
        <v>0</v>
      </c>
      <c r="M774" t="n">
        <v>0</v>
      </c>
      <c r="N774" t="n">
        <v>0</v>
      </c>
      <c r="O774" t="n">
        <v>0</v>
      </c>
      <c r="P774" t="n">
        <v>0</v>
      </c>
      <c r="Q774" t="n">
        <v>0</v>
      </c>
      <c r="R774" s="2" t="inlineStr"/>
    </row>
    <row r="775" ht="15" customHeight="1">
      <c r="A775" t="inlineStr">
        <is>
          <t>A 4161-2022</t>
        </is>
      </c>
      <c r="B775" s="1" t="n">
        <v>44588</v>
      </c>
      <c r="C775" s="1" t="n">
        <v>45962</v>
      </c>
      <c r="D775" t="inlineStr">
        <is>
          <t>SKÅNE LÄN</t>
        </is>
      </c>
      <c r="E775" t="inlineStr">
        <is>
          <t>HÄSSLEHOLM</t>
        </is>
      </c>
      <c r="G775" t="n">
        <v>0.5</v>
      </c>
      <c r="H775" t="n">
        <v>0</v>
      </c>
      <c r="I775" t="n">
        <v>0</v>
      </c>
      <c r="J775" t="n">
        <v>0</v>
      </c>
      <c r="K775" t="n">
        <v>0</v>
      </c>
      <c r="L775" t="n">
        <v>0</v>
      </c>
      <c r="M775" t="n">
        <v>0</v>
      </c>
      <c r="N775" t="n">
        <v>0</v>
      </c>
      <c r="O775" t="n">
        <v>0</v>
      </c>
      <c r="P775" t="n">
        <v>0</v>
      </c>
      <c r="Q775" t="n">
        <v>0</v>
      </c>
      <c r="R775" s="2" t="inlineStr"/>
    </row>
    <row r="776" ht="15" customHeight="1">
      <c r="A776" t="inlineStr">
        <is>
          <t>A 5773-2021</t>
        </is>
      </c>
      <c r="B776" s="1" t="n">
        <v>44230</v>
      </c>
      <c r="C776" s="1" t="n">
        <v>45962</v>
      </c>
      <c r="D776" t="inlineStr">
        <is>
          <t>SKÅNE LÄN</t>
        </is>
      </c>
      <c r="E776" t="inlineStr">
        <is>
          <t>ÖSTRA GÖINGE</t>
        </is>
      </c>
      <c r="G776" t="n">
        <v>0.6</v>
      </c>
      <c r="H776" t="n">
        <v>0</v>
      </c>
      <c r="I776" t="n">
        <v>0</v>
      </c>
      <c r="J776" t="n">
        <v>0</v>
      </c>
      <c r="K776" t="n">
        <v>0</v>
      </c>
      <c r="L776" t="n">
        <v>0</v>
      </c>
      <c r="M776" t="n">
        <v>0</v>
      </c>
      <c r="N776" t="n">
        <v>0</v>
      </c>
      <c r="O776" t="n">
        <v>0</v>
      </c>
      <c r="P776" t="n">
        <v>0</v>
      </c>
      <c r="Q776" t="n">
        <v>0</v>
      </c>
      <c r="R776" s="2" t="inlineStr"/>
    </row>
    <row r="777" ht="15" customHeight="1">
      <c r="A777" t="inlineStr">
        <is>
          <t>A 21029-2021</t>
        </is>
      </c>
      <c r="B777" s="1" t="n">
        <v>44319.63366898148</v>
      </c>
      <c r="C777" s="1" t="n">
        <v>45962</v>
      </c>
      <c r="D777" t="inlineStr">
        <is>
          <t>SKÅNE LÄN</t>
        </is>
      </c>
      <c r="E777" t="inlineStr">
        <is>
          <t>HÄSSLEHOLM</t>
        </is>
      </c>
      <c r="G777" t="n">
        <v>0.6</v>
      </c>
      <c r="H777" t="n">
        <v>0</v>
      </c>
      <c r="I777" t="n">
        <v>0</v>
      </c>
      <c r="J777" t="n">
        <v>0</v>
      </c>
      <c r="K777" t="n">
        <v>0</v>
      </c>
      <c r="L777" t="n">
        <v>0</v>
      </c>
      <c r="M777" t="n">
        <v>0</v>
      </c>
      <c r="N777" t="n">
        <v>0</v>
      </c>
      <c r="O777" t="n">
        <v>0</v>
      </c>
      <c r="P777" t="n">
        <v>0</v>
      </c>
      <c r="Q777" t="n">
        <v>0</v>
      </c>
      <c r="R777" s="2" t="inlineStr"/>
    </row>
    <row r="778" ht="15" customHeight="1">
      <c r="A778" t="inlineStr">
        <is>
          <t>A 1535-2022</t>
        </is>
      </c>
      <c r="B778" s="1" t="n">
        <v>44573</v>
      </c>
      <c r="C778" s="1" t="n">
        <v>45962</v>
      </c>
      <c r="D778" t="inlineStr">
        <is>
          <t>SKÅNE LÄN</t>
        </is>
      </c>
      <c r="E778" t="inlineStr">
        <is>
          <t>HÄSSLEHOLM</t>
        </is>
      </c>
      <c r="G778" t="n">
        <v>15</v>
      </c>
      <c r="H778" t="n">
        <v>0</v>
      </c>
      <c r="I778" t="n">
        <v>0</v>
      </c>
      <c r="J778" t="n">
        <v>0</v>
      </c>
      <c r="K778" t="n">
        <v>0</v>
      </c>
      <c r="L778" t="n">
        <v>0</v>
      </c>
      <c r="M778" t="n">
        <v>0</v>
      </c>
      <c r="N778" t="n">
        <v>0</v>
      </c>
      <c r="O778" t="n">
        <v>0</v>
      </c>
      <c r="P778" t="n">
        <v>0</v>
      </c>
      <c r="Q778" t="n">
        <v>0</v>
      </c>
      <c r="R778" s="2" t="inlineStr"/>
    </row>
    <row r="779" ht="15" customHeight="1">
      <c r="A779" t="inlineStr">
        <is>
          <t>A 39444-2021</t>
        </is>
      </c>
      <c r="B779" s="1" t="n">
        <v>44412</v>
      </c>
      <c r="C779" s="1" t="n">
        <v>45962</v>
      </c>
      <c r="D779" t="inlineStr">
        <is>
          <t>SKÅNE LÄN</t>
        </is>
      </c>
      <c r="E779" t="inlineStr">
        <is>
          <t>KRISTIANSTAD</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39449-2021</t>
        </is>
      </c>
      <c r="B780" s="1" t="n">
        <v>44412</v>
      </c>
      <c r="C780" s="1" t="n">
        <v>45962</v>
      </c>
      <c r="D780" t="inlineStr">
        <is>
          <t>SKÅNE LÄN</t>
        </is>
      </c>
      <c r="E780" t="inlineStr">
        <is>
          <t>KRISTIANSTAD</t>
        </is>
      </c>
      <c r="G780" t="n">
        <v>1.9</v>
      </c>
      <c r="H780" t="n">
        <v>0</v>
      </c>
      <c r="I780" t="n">
        <v>0</v>
      </c>
      <c r="J780" t="n">
        <v>0</v>
      </c>
      <c r="K780" t="n">
        <v>0</v>
      </c>
      <c r="L780" t="n">
        <v>0</v>
      </c>
      <c r="M780" t="n">
        <v>0</v>
      </c>
      <c r="N780" t="n">
        <v>0</v>
      </c>
      <c r="O780" t="n">
        <v>0</v>
      </c>
      <c r="P780" t="n">
        <v>0</v>
      </c>
      <c r="Q780" t="n">
        <v>0</v>
      </c>
      <c r="R780" s="2" t="inlineStr"/>
    </row>
    <row r="781" ht="15" customHeight="1">
      <c r="A781" t="inlineStr">
        <is>
          <t>A 13982-2021</t>
        </is>
      </c>
      <c r="B781" s="1" t="n">
        <v>44277.57800925926</v>
      </c>
      <c r="C781" s="1" t="n">
        <v>45962</v>
      </c>
      <c r="D781" t="inlineStr">
        <is>
          <t>SKÅNE LÄN</t>
        </is>
      </c>
      <c r="E781" t="inlineStr">
        <is>
          <t>HÄSSLEHOLM</t>
        </is>
      </c>
      <c r="G781" t="n">
        <v>0.7</v>
      </c>
      <c r="H781" t="n">
        <v>0</v>
      </c>
      <c r="I781" t="n">
        <v>0</v>
      </c>
      <c r="J781" t="n">
        <v>0</v>
      </c>
      <c r="K781" t="n">
        <v>0</v>
      </c>
      <c r="L781" t="n">
        <v>0</v>
      </c>
      <c r="M781" t="n">
        <v>0</v>
      </c>
      <c r="N781" t="n">
        <v>0</v>
      </c>
      <c r="O781" t="n">
        <v>0</v>
      </c>
      <c r="P781" t="n">
        <v>0</v>
      </c>
      <c r="Q781" t="n">
        <v>0</v>
      </c>
      <c r="R781" s="2" t="inlineStr"/>
    </row>
    <row r="782" ht="15" customHeight="1">
      <c r="A782" t="inlineStr">
        <is>
          <t>A 64607-2021</t>
        </is>
      </c>
      <c r="B782" s="1" t="n">
        <v>44511</v>
      </c>
      <c r="C782" s="1" t="n">
        <v>45962</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64621-2021</t>
        </is>
      </c>
      <c r="B783" s="1" t="n">
        <v>44511.82252314815</v>
      </c>
      <c r="C783" s="1" t="n">
        <v>45962</v>
      </c>
      <c r="D783" t="inlineStr">
        <is>
          <t>SKÅNE LÄN</t>
        </is>
      </c>
      <c r="E783" t="inlineStr">
        <is>
          <t>BROMÖLLA</t>
        </is>
      </c>
      <c r="G783" t="n">
        <v>1.1</v>
      </c>
      <c r="H783" t="n">
        <v>0</v>
      </c>
      <c r="I783" t="n">
        <v>0</v>
      </c>
      <c r="J783" t="n">
        <v>0</v>
      </c>
      <c r="K783" t="n">
        <v>0</v>
      </c>
      <c r="L783" t="n">
        <v>0</v>
      </c>
      <c r="M783" t="n">
        <v>0</v>
      </c>
      <c r="N783" t="n">
        <v>0</v>
      </c>
      <c r="O783" t="n">
        <v>0</v>
      </c>
      <c r="P783" t="n">
        <v>0</v>
      </c>
      <c r="Q783" t="n">
        <v>0</v>
      </c>
      <c r="R783" s="2" t="inlineStr"/>
    </row>
    <row r="784" ht="15" customHeight="1">
      <c r="A784" t="inlineStr">
        <is>
          <t>A 50474-2021</t>
        </is>
      </c>
      <c r="B784" s="1" t="n">
        <v>44459.55395833333</v>
      </c>
      <c r="C784" s="1" t="n">
        <v>45962</v>
      </c>
      <c r="D784" t="inlineStr">
        <is>
          <t>SKÅNE LÄN</t>
        </is>
      </c>
      <c r="E784" t="inlineStr">
        <is>
          <t>OSBY</t>
        </is>
      </c>
      <c r="G784" t="n">
        <v>1.6</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45962</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15046-2022</t>
        </is>
      </c>
      <c r="B786" s="1" t="n">
        <v>44657.63517361111</v>
      </c>
      <c r="C786" s="1" t="n">
        <v>45962</v>
      </c>
      <c r="D786" t="inlineStr">
        <is>
          <t>SKÅNE LÄN</t>
        </is>
      </c>
      <c r="E786" t="inlineStr">
        <is>
          <t>ÄNGELHOLM</t>
        </is>
      </c>
      <c r="G786" t="n">
        <v>0.7</v>
      </c>
      <c r="H786" t="n">
        <v>0</v>
      </c>
      <c r="I786" t="n">
        <v>0</v>
      </c>
      <c r="J786" t="n">
        <v>0</v>
      </c>
      <c r="K786" t="n">
        <v>0</v>
      </c>
      <c r="L786" t="n">
        <v>0</v>
      </c>
      <c r="M786" t="n">
        <v>0</v>
      </c>
      <c r="N786" t="n">
        <v>0</v>
      </c>
      <c r="O786" t="n">
        <v>0</v>
      </c>
      <c r="P786" t="n">
        <v>0</v>
      </c>
      <c r="Q786" t="n">
        <v>0</v>
      </c>
      <c r="R786" s="2" t="inlineStr"/>
    </row>
    <row r="787" ht="15" customHeight="1">
      <c r="A787" t="inlineStr">
        <is>
          <t>A 10939-2022</t>
        </is>
      </c>
      <c r="B787" s="1" t="n">
        <v>44627</v>
      </c>
      <c r="C787" s="1" t="n">
        <v>45962</v>
      </c>
      <c r="D787" t="inlineStr">
        <is>
          <t>SKÅNE LÄN</t>
        </is>
      </c>
      <c r="E787" t="inlineStr">
        <is>
          <t>ÖSTRA GÖINGE</t>
        </is>
      </c>
      <c r="G787" t="n">
        <v>0.4</v>
      </c>
      <c r="H787" t="n">
        <v>0</v>
      </c>
      <c r="I787" t="n">
        <v>0</v>
      </c>
      <c r="J787" t="n">
        <v>0</v>
      </c>
      <c r="K787" t="n">
        <v>0</v>
      </c>
      <c r="L787" t="n">
        <v>0</v>
      </c>
      <c r="M787" t="n">
        <v>0</v>
      </c>
      <c r="N787" t="n">
        <v>0</v>
      </c>
      <c r="O787" t="n">
        <v>0</v>
      </c>
      <c r="P787" t="n">
        <v>0</v>
      </c>
      <c r="Q787" t="n">
        <v>0</v>
      </c>
      <c r="R787" s="2" t="inlineStr"/>
    </row>
    <row r="788" ht="15" customHeight="1">
      <c r="A788" t="inlineStr">
        <is>
          <t>A 66474-2020</t>
        </is>
      </c>
      <c r="B788" s="1" t="n">
        <v>44177</v>
      </c>
      <c r="C788" s="1" t="n">
        <v>45962</v>
      </c>
      <c r="D788" t="inlineStr">
        <is>
          <t>SKÅNE LÄN</t>
        </is>
      </c>
      <c r="E788" t="inlineStr">
        <is>
          <t>HÄSSLEHOLM</t>
        </is>
      </c>
      <c r="G788" t="n">
        <v>2.8</v>
      </c>
      <c r="H788" t="n">
        <v>0</v>
      </c>
      <c r="I788" t="n">
        <v>0</v>
      </c>
      <c r="J788" t="n">
        <v>0</v>
      </c>
      <c r="K788" t="n">
        <v>0</v>
      </c>
      <c r="L788" t="n">
        <v>0</v>
      </c>
      <c r="M788" t="n">
        <v>0</v>
      </c>
      <c r="N788" t="n">
        <v>0</v>
      </c>
      <c r="O788" t="n">
        <v>0</v>
      </c>
      <c r="P788" t="n">
        <v>0</v>
      </c>
      <c r="Q788" t="n">
        <v>0</v>
      </c>
      <c r="R788" s="2" t="inlineStr"/>
    </row>
    <row r="789" ht="15" customHeight="1">
      <c r="A789" t="inlineStr">
        <is>
          <t>A 18514-2021</t>
        </is>
      </c>
      <c r="B789" s="1" t="n">
        <v>44305</v>
      </c>
      <c r="C789" s="1" t="n">
        <v>45962</v>
      </c>
      <c r="D789" t="inlineStr">
        <is>
          <t>SKÅNE LÄN</t>
        </is>
      </c>
      <c r="E789" t="inlineStr">
        <is>
          <t>PERSTORP</t>
        </is>
      </c>
      <c r="F789" t="inlineStr">
        <is>
          <t>Övriga Aktiebolag</t>
        </is>
      </c>
      <c r="G789" t="n">
        <v>4.8</v>
      </c>
      <c r="H789" t="n">
        <v>0</v>
      </c>
      <c r="I789" t="n">
        <v>0</v>
      </c>
      <c r="J789" t="n">
        <v>0</v>
      </c>
      <c r="K789" t="n">
        <v>0</v>
      </c>
      <c r="L789" t="n">
        <v>0</v>
      </c>
      <c r="M789" t="n">
        <v>0</v>
      </c>
      <c r="N789" t="n">
        <v>0</v>
      </c>
      <c r="O789" t="n">
        <v>0</v>
      </c>
      <c r="P789" t="n">
        <v>0</v>
      </c>
      <c r="Q789" t="n">
        <v>0</v>
      </c>
      <c r="R789" s="2" t="inlineStr"/>
    </row>
    <row r="790" ht="15" customHeight="1">
      <c r="A790" t="inlineStr">
        <is>
          <t>A 18515-2021</t>
        </is>
      </c>
      <c r="B790" s="1" t="n">
        <v>44305</v>
      </c>
      <c r="C790" s="1" t="n">
        <v>45962</v>
      </c>
      <c r="D790" t="inlineStr">
        <is>
          <t>SKÅNE LÄN</t>
        </is>
      </c>
      <c r="E790" t="inlineStr">
        <is>
          <t>HÄSSLEHOLM</t>
        </is>
      </c>
      <c r="F790" t="inlineStr">
        <is>
          <t>Övriga Aktiebolag</t>
        </is>
      </c>
      <c r="G790" t="n">
        <v>0.5</v>
      </c>
      <c r="H790" t="n">
        <v>0</v>
      </c>
      <c r="I790" t="n">
        <v>0</v>
      </c>
      <c r="J790" t="n">
        <v>0</v>
      </c>
      <c r="K790" t="n">
        <v>0</v>
      </c>
      <c r="L790" t="n">
        <v>0</v>
      </c>
      <c r="M790" t="n">
        <v>0</v>
      </c>
      <c r="N790" t="n">
        <v>0</v>
      </c>
      <c r="O790" t="n">
        <v>0</v>
      </c>
      <c r="P790" t="n">
        <v>0</v>
      </c>
      <c r="Q790" t="n">
        <v>0</v>
      </c>
      <c r="R790" s="2" t="inlineStr"/>
    </row>
    <row r="791" ht="15" customHeight="1">
      <c r="A791" t="inlineStr">
        <is>
          <t>A 18523-2021</t>
        </is>
      </c>
      <c r="B791" s="1" t="n">
        <v>44305</v>
      </c>
      <c r="C791" s="1" t="n">
        <v>45962</v>
      </c>
      <c r="D791" t="inlineStr">
        <is>
          <t>SKÅNE LÄN</t>
        </is>
      </c>
      <c r="E791" t="inlineStr">
        <is>
          <t>HÄSSLEHOLM</t>
        </is>
      </c>
      <c r="F791" t="inlineStr">
        <is>
          <t>Övriga Aktiebolag</t>
        </is>
      </c>
      <c r="G791" t="n">
        <v>1.2</v>
      </c>
      <c r="H791" t="n">
        <v>0</v>
      </c>
      <c r="I791" t="n">
        <v>0</v>
      </c>
      <c r="J791" t="n">
        <v>0</v>
      </c>
      <c r="K791" t="n">
        <v>0</v>
      </c>
      <c r="L791" t="n">
        <v>0</v>
      </c>
      <c r="M791" t="n">
        <v>0</v>
      </c>
      <c r="N791" t="n">
        <v>0</v>
      </c>
      <c r="O791" t="n">
        <v>0</v>
      </c>
      <c r="P791" t="n">
        <v>0</v>
      </c>
      <c r="Q791" t="n">
        <v>0</v>
      </c>
      <c r="R791" s="2" t="inlineStr"/>
    </row>
    <row r="792" ht="15" customHeight="1">
      <c r="A792" t="inlineStr">
        <is>
          <t>A 12617-2021</t>
        </is>
      </c>
      <c r="B792" s="1" t="n">
        <v>44270.45030092593</v>
      </c>
      <c r="C792" s="1" t="n">
        <v>45962</v>
      </c>
      <c r="D792" t="inlineStr">
        <is>
          <t>SKÅNE LÄN</t>
        </is>
      </c>
      <c r="E792" t="inlineStr">
        <is>
          <t>HÄSSLEHOLM</t>
        </is>
      </c>
      <c r="G792" t="n">
        <v>1.2</v>
      </c>
      <c r="H792" t="n">
        <v>0</v>
      </c>
      <c r="I792" t="n">
        <v>0</v>
      </c>
      <c r="J792" t="n">
        <v>0</v>
      </c>
      <c r="K792" t="n">
        <v>0</v>
      </c>
      <c r="L792" t="n">
        <v>0</v>
      </c>
      <c r="M792" t="n">
        <v>0</v>
      </c>
      <c r="N792" t="n">
        <v>0</v>
      </c>
      <c r="O792" t="n">
        <v>0</v>
      </c>
      <c r="P792" t="n">
        <v>0</v>
      </c>
      <c r="Q792" t="n">
        <v>0</v>
      </c>
      <c r="R792" s="2" t="inlineStr"/>
    </row>
    <row r="793" ht="15" customHeight="1">
      <c r="A793" t="inlineStr">
        <is>
          <t>A 25351-2022</t>
        </is>
      </c>
      <c r="B793" s="1" t="n">
        <v>44732</v>
      </c>
      <c r="C793" s="1" t="n">
        <v>45962</v>
      </c>
      <c r="D793" t="inlineStr">
        <is>
          <t>SKÅNE LÄN</t>
        </is>
      </c>
      <c r="E793" t="inlineStr">
        <is>
          <t>ÅSTORP</t>
        </is>
      </c>
      <c r="G793" t="n">
        <v>2.8</v>
      </c>
      <c r="H793" t="n">
        <v>0</v>
      </c>
      <c r="I793" t="n">
        <v>0</v>
      </c>
      <c r="J793" t="n">
        <v>0</v>
      </c>
      <c r="K793" t="n">
        <v>0</v>
      </c>
      <c r="L793" t="n">
        <v>0</v>
      </c>
      <c r="M793" t="n">
        <v>0</v>
      </c>
      <c r="N793" t="n">
        <v>0</v>
      </c>
      <c r="O793" t="n">
        <v>0</v>
      </c>
      <c r="P793" t="n">
        <v>0</v>
      </c>
      <c r="Q793" t="n">
        <v>0</v>
      </c>
      <c r="R793" s="2" t="inlineStr"/>
    </row>
    <row r="794" ht="15" customHeight="1">
      <c r="A794" t="inlineStr">
        <is>
          <t>A 49911-2021</t>
        </is>
      </c>
      <c r="B794" s="1" t="n">
        <v>44455</v>
      </c>
      <c r="C794" s="1" t="n">
        <v>45962</v>
      </c>
      <c r="D794" t="inlineStr">
        <is>
          <t>SKÅNE LÄN</t>
        </is>
      </c>
      <c r="E794" t="inlineStr">
        <is>
          <t>OSBY</t>
        </is>
      </c>
      <c r="G794" t="n">
        <v>1.8</v>
      </c>
      <c r="H794" t="n">
        <v>0</v>
      </c>
      <c r="I794" t="n">
        <v>0</v>
      </c>
      <c r="J794" t="n">
        <v>0</v>
      </c>
      <c r="K794" t="n">
        <v>0</v>
      </c>
      <c r="L794" t="n">
        <v>0</v>
      </c>
      <c r="M794" t="n">
        <v>0</v>
      </c>
      <c r="N794" t="n">
        <v>0</v>
      </c>
      <c r="O794" t="n">
        <v>0</v>
      </c>
      <c r="P794" t="n">
        <v>0</v>
      </c>
      <c r="Q794" t="n">
        <v>0</v>
      </c>
      <c r="R794" s="2" t="inlineStr"/>
    </row>
    <row r="795" ht="15" customHeight="1">
      <c r="A795" t="inlineStr">
        <is>
          <t>A 21424-2022</t>
        </is>
      </c>
      <c r="B795" s="1" t="n">
        <v>44706</v>
      </c>
      <c r="C795" s="1" t="n">
        <v>45962</v>
      </c>
      <c r="D795" t="inlineStr">
        <is>
          <t>SKÅNE LÄN</t>
        </is>
      </c>
      <c r="E795" t="inlineStr">
        <is>
          <t>SJÖBO</t>
        </is>
      </c>
      <c r="G795" t="n">
        <v>1.4</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45962</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8865-2021</t>
        </is>
      </c>
      <c r="B797" s="1" t="n">
        <v>44247</v>
      </c>
      <c r="C797" s="1" t="n">
        <v>45962</v>
      </c>
      <c r="D797" t="inlineStr">
        <is>
          <t>SKÅNE LÄN</t>
        </is>
      </c>
      <c r="E797" t="inlineStr">
        <is>
          <t>OSBY</t>
        </is>
      </c>
      <c r="G797" t="n">
        <v>2</v>
      </c>
      <c r="H797" t="n">
        <v>0</v>
      </c>
      <c r="I797" t="n">
        <v>0</v>
      </c>
      <c r="J797" t="n">
        <v>0</v>
      </c>
      <c r="K797" t="n">
        <v>0</v>
      </c>
      <c r="L797" t="n">
        <v>0</v>
      </c>
      <c r="M797" t="n">
        <v>0</v>
      </c>
      <c r="N797" t="n">
        <v>0</v>
      </c>
      <c r="O797" t="n">
        <v>0</v>
      </c>
      <c r="P797" t="n">
        <v>0</v>
      </c>
      <c r="Q797" t="n">
        <v>0</v>
      </c>
      <c r="R797" s="2" t="inlineStr"/>
    </row>
    <row r="798" ht="15" customHeight="1">
      <c r="A798" t="inlineStr">
        <is>
          <t>A 8966-2021</t>
        </is>
      </c>
      <c r="B798" s="1" t="n">
        <v>44246</v>
      </c>
      <c r="C798" s="1" t="n">
        <v>45962</v>
      </c>
      <c r="D798" t="inlineStr">
        <is>
          <t>SKÅNE LÄN</t>
        </is>
      </c>
      <c r="E798" t="inlineStr">
        <is>
          <t>OSBY</t>
        </is>
      </c>
      <c r="G798" t="n">
        <v>3.9</v>
      </c>
      <c r="H798" t="n">
        <v>0</v>
      </c>
      <c r="I798" t="n">
        <v>0</v>
      </c>
      <c r="J798" t="n">
        <v>0</v>
      </c>
      <c r="K798" t="n">
        <v>0</v>
      </c>
      <c r="L798" t="n">
        <v>0</v>
      </c>
      <c r="M798" t="n">
        <v>0</v>
      </c>
      <c r="N798" t="n">
        <v>0</v>
      </c>
      <c r="O798" t="n">
        <v>0</v>
      </c>
      <c r="P798" t="n">
        <v>0</v>
      </c>
      <c r="Q798" t="n">
        <v>0</v>
      </c>
      <c r="R798" s="2" t="inlineStr"/>
    </row>
    <row r="799" ht="15" customHeight="1">
      <c r="A799" t="inlineStr">
        <is>
          <t>A 44173-2021</t>
        </is>
      </c>
      <c r="B799" s="1" t="n">
        <v>44434</v>
      </c>
      <c r="C799" s="1" t="n">
        <v>45962</v>
      </c>
      <c r="D799" t="inlineStr">
        <is>
          <t>SKÅNE LÄN</t>
        </is>
      </c>
      <c r="E799" t="inlineStr">
        <is>
          <t>HÖÖR</t>
        </is>
      </c>
      <c r="G799" t="n">
        <v>0.5</v>
      </c>
      <c r="H799" t="n">
        <v>0</v>
      </c>
      <c r="I799" t="n">
        <v>0</v>
      </c>
      <c r="J799" t="n">
        <v>0</v>
      </c>
      <c r="K799" t="n">
        <v>0</v>
      </c>
      <c r="L799" t="n">
        <v>0</v>
      </c>
      <c r="M799" t="n">
        <v>0</v>
      </c>
      <c r="N799" t="n">
        <v>0</v>
      </c>
      <c r="O799" t="n">
        <v>0</v>
      </c>
      <c r="P799" t="n">
        <v>0</v>
      </c>
      <c r="Q799" t="n">
        <v>0</v>
      </c>
      <c r="R799" s="2" t="inlineStr"/>
    </row>
    <row r="800" ht="15" customHeight="1">
      <c r="A800" t="inlineStr">
        <is>
          <t>A 50396-2021</t>
        </is>
      </c>
      <c r="B800" s="1" t="n">
        <v>44459.47292824074</v>
      </c>
      <c r="C800" s="1" t="n">
        <v>45962</v>
      </c>
      <c r="D800" t="inlineStr">
        <is>
          <t>SKÅNE LÄN</t>
        </is>
      </c>
      <c r="E800" t="inlineStr">
        <is>
          <t>OSBY</t>
        </is>
      </c>
      <c r="G800" t="n">
        <v>1.4</v>
      </c>
      <c r="H800" t="n">
        <v>0</v>
      </c>
      <c r="I800" t="n">
        <v>0</v>
      </c>
      <c r="J800" t="n">
        <v>0</v>
      </c>
      <c r="K800" t="n">
        <v>0</v>
      </c>
      <c r="L800" t="n">
        <v>0</v>
      </c>
      <c r="M800" t="n">
        <v>0</v>
      </c>
      <c r="N800" t="n">
        <v>0</v>
      </c>
      <c r="O800" t="n">
        <v>0</v>
      </c>
      <c r="P800" t="n">
        <v>0</v>
      </c>
      <c r="Q800" t="n">
        <v>0</v>
      </c>
      <c r="R800" s="2" t="inlineStr"/>
    </row>
    <row r="801" ht="15" customHeight="1">
      <c r="A801" t="inlineStr">
        <is>
          <t>A 42031-2022</t>
        </is>
      </c>
      <c r="B801" s="1" t="n">
        <v>44830.47840277778</v>
      </c>
      <c r="C801" s="1" t="n">
        <v>45962</v>
      </c>
      <c r="D801" t="inlineStr">
        <is>
          <t>SKÅNE LÄN</t>
        </is>
      </c>
      <c r="E801" t="inlineStr">
        <is>
          <t>OSBY</t>
        </is>
      </c>
      <c r="G801" t="n">
        <v>0.5</v>
      </c>
      <c r="H801" t="n">
        <v>0</v>
      </c>
      <c r="I801" t="n">
        <v>0</v>
      </c>
      <c r="J801" t="n">
        <v>0</v>
      </c>
      <c r="K801" t="n">
        <v>0</v>
      </c>
      <c r="L801" t="n">
        <v>0</v>
      </c>
      <c r="M801" t="n">
        <v>0</v>
      </c>
      <c r="N801" t="n">
        <v>0</v>
      </c>
      <c r="O801" t="n">
        <v>0</v>
      </c>
      <c r="P801" t="n">
        <v>0</v>
      </c>
      <c r="Q801" t="n">
        <v>0</v>
      </c>
      <c r="R801" s="2" t="inlineStr"/>
    </row>
    <row r="802" ht="15" customHeight="1">
      <c r="A802" t="inlineStr">
        <is>
          <t>A 42034-2022</t>
        </is>
      </c>
      <c r="B802" s="1" t="n">
        <v>44830.4819212963</v>
      </c>
      <c r="C802" s="1" t="n">
        <v>45962</v>
      </c>
      <c r="D802" t="inlineStr">
        <is>
          <t>SKÅNE LÄN</t>
        </is>
      </c>
      <c r="E802" t="inlineStr">
        <is>
          <t>OSBY</t>
        </is>
      </c>
      <c r="G802" t="n">
        <v>0.1</v>
      </c>
      <c r="H802" t="n">
        <v>0</v>
      </c>
      <c r="I802" t="n">
        <v>0</v>
      </c>
      <c r="J802" t="n">
        <v>0</v>
      </c>
      <c r="K802" t="n">
        <v>0</v>
      </c>
      <c r="L802" t="n">
        <v>0</v>
      </c>
      <c r="M802" t="n">
        <v>0</v>
      </c>
      <c r="N802" t="n">
        <v>0</v>
      </c>
      <c r="O802" t="n">
        <v>0</v>
      </c>
      <c r="P802" t="n">
        <v>0</v>
      </c>
      <c r="Q802" t="n">
        <v>0</v>
      </c>
      <c r="R802" s="2" t="inlineStr"/>
    </row>
    <row r="803" ht="15" customHeight="1">
      <c r="A803" t="inlineStr">
        <is>
          <t>A 56443-2021</t>
        </is>
      </c>
      <c r="B803" s="1" t="n">
        <v>44480.4962962963</v>
      </c>
      <c r="C803" s="1" t="n">
        <v>45962</v>
      </c>
      <c r="D803" t="inlineStr">
        <is>
          <t>SKÅNE LÄN</t>
        </is>
      </c>
      <c r="E803" t="inlineStr">
        <is>
          <t>ÖSTRA GÖINGE</t>
        </is>
      </c>
      <c r="G803" t="n">
        <v>1.7</v>
      </c>
      <c r="H803" t="n">
        <v>0</v>
      </c>
      <c r="I803" t="n">
        <v>0</v>
      </c>
      <c r="J803" t="n">
        <v>0</v>
      </c>
      <c r="K803" t="n">
        <v>0</v>
      </c>
      <c r="L803" t="n">
        <v>0</v>
      </c>
      <c r="M803" t="n">
        <v>0</v>
      </c>
      <c r="N803" t="n">
        <v>0</v>
      </c>
      <c r="O803" t="n">
        <v>0</v>
      </c>
      <c r="P803" t="n">
        <v>0</v>
      </c>
      <c r="Q803" t="n">
        <v>0</v>
      </c>
      <c r="R803" s="2" t="inlineStr"/>
    </row>
    <row r="804" ht="15" customHeight="1">
      <c r="A804" t="inlineStr">
        <is>
          <t>A 35533-2022</t>
        </is>
      </c>
      <c r="B804" s="1" t="n">
        <v>44799</v>
      </c>
      <c r="C804" s="1" t="n">
        <v>45962</v>
      </c>
      <c r="D804" t="inlineStr">
        <is>
          <t>SKÅNE LÄN</t>
        </is>
      </c>
      <c r="E804" t="inlineStr">
        <is>
          <t>ÖRKELLJUNGA</t>
        </is>
      </c>
      <c r="F804" t="inlineStr">
        <is>
          <t>Kommuner</t>
        </is>
      </c>
      <c r="G804" t="n">
        <v>4.6</v>
      </c>
      <c r="H804" t="n">
        <v>0</v>
      </c>
      <c r="I804" t="n">
        <v>0</v>
      </c>
      <c r="J804" t="n">
        <v>0</v>
      </c>
      <c r="K804" t="n">
        <v>0</v>
      </c>
      <c r="L804" t="n">
        <v>0</v>
      </c>
      <c r="M804" t="n">
        <v>0</v>
      </c>
      <c r="N804" t="n">
        <v>0</v>
      </c>
      <c r="O804" t="n">
        <v>0</v>
      </c>
      <c r="P804" t="n">
        <v>0</v>
      </c>
      <c r="Q804" t="n">
        <v>0</v>
      </c>
      <c r="R804" s="2" t="inlineStr"/>
    </row>
    <row r="805" ht="15" customHeight="1">
      <c r="A805" t="inlineStr">
        <is>
          <t>A 2046-2022</t>
        </is>
      </c>
      <c r="B805" s="1" t="n">
        <v>44575</v>
      </c>
      <c r="C805" s="1" t="n">
        <v>45962</v>
      </c>
      <c r="D805" t="inlineStr">
        <is>
          <t>SKÅNE LÄN</t>
        </is>
      </c>
      <c r="E805" t="inlineStr">
        <is>
          <t>KLIPPAN</t>
        </is>
      </c>
      <c r="F805" t="inlineStr">
        <is>
          <t>Sveaskog</t>
        </is>
      </c>
      <c r="G805" t="n">
        <v>0.4</v>
      </c>
      <c r="H805" t="n">
        <v>0</v>
      </c>
      <c r="I805" t="n">
        <v>0</v>
      </c>
      <c r="J805" t="n">
        <v>0</v>
      </c>
      <c r="K805" t="n">
        <v>0</v>
      </c>
      <c r="L805" t="n">
        <v>0</v>
      </c>
      <c r="M805" t="n">
        <v>0</v>
      </c>
      <c r="N805" t="n">
        <v>0</v>
      </c>
      <c r="O805" t="n">
        <v>0</v>
      </c>
      <c r="P805" t="n">
        <v>0</v>
      </c>
      <c r="Q805" t="n">
        <v>0</v>
      </c>
      <c r="R805" s="2" t="inlineStr"/>
    </row>
    <row r="806" ht="15" customHeight="1">
      <c r="A806" t="inlineStr">
        <is>
          <t>A 2158-2022</t>
        </is>
      </c>
      <c r="B806" s="1" t="n">
        <v>44578.43423611111</v>
      </c>
      <c r="C806" s="1" t="n">
        <v>45962</v>
      </c>
      <c r="D806" t="inlineStr">
        <is>
          <t>SKÅNE LÄN</t>
        </is>
      </c>
      <c r="E806" t="inlineStr">
        <is>
          <t>ÖSTRA GÖINGE</t>
        </is>
      </c>
      <c r="G806" t="n">
        <v>1</v>
      </c>
      <c r="H806" t="n">
        <v>0</v>
      </c>
      <c r="I806" t="n">
        <v>0</v>
      </c>
      <c r="J806" t="n">
        <v>0</v>
      </c>
      <c r="K806" t="n">
        <v>0</v>
      </c>
      <c r="L806" t="n">
        <v>0</v>
      </c>
      <c r="M806" t="n">
        <v>0</v>
      </c>
      <c r="N806" t="n">
        <v>0</v>
      </c>
      <c r="O806" t="n">
        <v>0</v>
      </c>
      <c r="P806" t="n">
        <v>0</v>
      </c>
      <c r="Q806" t="n">
        <v>0</v>
      </c>
      <c r="R806" s="2" t="inlineStr"/>
    </row>
    <row r="807" ht="15" customHeight="1">
      <c r="A807" t="inlineStr">
        <is>
          <t>A 15423-2022</t>
        </is>
      </c>
      <c r="B807" s="1" t="n">
        <v>44659</v>
      </c>
      <c r="C807" s="1" t="n">
        <v>45962</v>
      </c>
      <c r="D807" t="inlineStr">
        <is>
          <t>SKÅNE LÄN</t>
        </is>
      </c>
      <c r="E807" t="inlineStr">
        <is>
          <t>HÄSSLEHOLM</t>
        </is>
      </c>
      <c r="F807" t="inlineStr">
        <is>
          <t>Kyrkan</t>
        </is>
      </c>
      <c r="G807" t="n">
        <v>0.9</v>
      </c>
      <c r="H807" t="n">
        <v>0</v>
      </c>
      <c r="I807" t="n">
        <v>0</v>
      </c>
      <c r="J807" t="n">
        <v>0</v>
      </c>
      <c r="K807" t="n">
        <v>0</v>
      </c>
      <c r="L807" t="n">
        <v>0</v>
      </c>
      <c r="M807" t="n">
        <v>0</v>
      </c>
      <c r="N807" t="n">
        <v>0</v>
      </c>
      <c r="O807" t="n">
        <v>0</v>
      </c>
      <c r="P807" t="n">
        <v>0</v>
      </c>
      <c r="Q807" t="n">
        <v>0</v>
      </c>
      <c r="R807" s="2" t="inlineStr"/>
    </row>
    <row r="808" ht="15" customHeight="1">
      <c r="A808" t="inlineStr">
        <is>
          <t>A 54411-2021</t>
        </is>
      </c>
      <c r="B808" s="1" t="n">
        <v>44473</v>
      </c>
      <c r="C808" s="1" t="n">
        <v>45962</v>
      </c>
      <c r="D808" t="inlineStr">
        <is>
          <t>SKÅNE LÄN</t>
        </is>
      </c>
      <c r="E808" t="inlineStr">
        <is>
          <t>PERSTORP</t>
        </is>
      </c>
      <c r="G808" t="n">
        <v>4.3</v>
      </c>
      <c r="H808" t="n">
        <v>0</v>
      </c>
      <c r="I808" t="n">
        <v>0</v>
      </c>
      <c r="J808" t="n">
        <v>0</v>
      </c>
      <c r="K808" t="n">
        <v>0</v>
      </c>
      <c r="L808" t="n">
        <v>0</v>
      </c>
      <c r="M808" t="n">
        <v>0</v>
      </c>
      <c r="N808" t="n">
        <v>0</v>
      </c>
      <c r="O808" t="n">
        <v>0</v>
      </c>
      <c r="P808" t="n">
        <v>0</v>
      </c>
      <c r="Q808" t="n">
        <v>0</v>
      </c>
      <c r="R808" s="2" t="inlineStr"/>
    </row>
    <row r="809" ht="15" customHeight="1">
      <c r="A809" t="inlineStr">
        <is>
          <t>A 54516-2022</t>
        </is>
      </c>
      <c r="B809" s="1" t="n">
        <v>44880</v>
      </c>
      <c r="C809" s="1" t="n">
        <v>45962</v>
      </c>
      <c r="D809" t="inlineStr">
        <is>
          <t>SKÅNE LÄN</t>
        </is>
      </c>
      <c r="E809" t="inlineStr">
        <is>
          <t>KLIPPAN</t>
        </is>
      </c>
      <c r="G809" t="n">
        <v>1.1</v>
      </c>
      <c r="H809" t="n">
        <v>0</v>
      </c>
      <c r="I809" t="n">
        <v>0</v>
      </c>
      <c r="J809" t="n">
        <v>0</v>
      </c>
      <c r="K809" t="n">
        <v>0</v>
      </c>
      <c r="L809" t="n">
        <v>0</v>
      </c>
      <c r="M809" t="n">
        <v>0</v>
      </c>
      <c r="N809" t="n">
        <v>0</v>
      </c>
      <c r="O809" t="n">
        <v>0</v>
      </c>
      <c r="P809" t="n">
        <v>0</v>
      </c>
      <c r="Q809" t="n">
        <v>0</v>
      </c>
      <c r="R809" s="2" t="inlineStr"/>
    </row>
    <row r="810" ht="15" customHeight="1">
      <c r="A810" t="inlineStr">
        <is>
          <t>A 24227-2022</t>
        </is>
      </c>
      <c r="B810" s="1" t="n">
        <v>44725.64246527778</v>
      </c>
      <c r="C810" s="1" t="n">
        <v>45962</v>
      </c>
      <c r="D810" t="inlineStr">
        <is>
          <t>SKÅNE LÄN</t>
        </is>
      </c>
      <c r="E810" t="inlineStr">
        <is>
          <t>HELSINGBORG</t>
        </is>
      </c>
      <c r="G810" t="n">
        <v>1.7</v>
      </c>
      <c r="H810" t="n">
        <v>0</v>
      </c>
      <c r="I810" t="n">
        <v>0</v>
      </c>
      <c r="J810" t="n">
        <v>0</v>
      </c>
      <c r="K810" t="n">
        <v>0</v>
      </c>
      <c r="L810" t="n">
        <v>0</v>
      </c>
      <c r="M810" t="n">
        <v>0</v>
      </c>
      <c r="N810" t="n">
        <v>0</v>
      </c>
      <c r="O810" t="n">
        <v>0</v>
      </c>
      <c r="P810" t="n">
        <v>0</v>
      </c>
      <c r="Q810" t="n">
        <v>0</v>
      </c>
      <c r="R810" s="2" t="inlineStr"/>
    </row>
    <row r="811" ht="15" customHeight="1">
      <c r="A811" t="inlineStr">
        <is>
          <t>A 38500-2022</t>
        </is>
      </c>
      <c r="B811" s="1" t="n">
        <v>44813.41585648148</v>
      </c>
      <c r="C811" s="1" t="n">
        <v>45962</v>
      </c>
      <c r="D811" t="inlineStr">
        <is>
          <t>SKÅNE LÄN</t>
        </is>
      </c>
      <c r="E811" t="inlineStr">
        <is>
          <t>KRISTIANSTAD</t>
        </is>
      </c>
      <c r="G811" t="n">
        <v>3.2</v>
      </c>
      <c r="H811" t="n">
        <v>0</v>
      </c>
      <c r="I811" t="n">
        <v>0</v>
      </c>
      <c r="J811" t="n">
        <v>0</v>
      </c>
      <c r="K811" t="n">
        <v>0</v>
      </c>
      <c r="L811" t="n">
        <v>0</v>
      </c>
      <c r="M811" t="n">
        <v>0</v>
      </c>
      <c r="N811" t="n">
        <v>0</v>
      </c>
      <c r="O811" t="n">
        <v>0</v>
      </c>
      <c r="P811" t="n">
        <v>0</v>
      </c>
      <c r="Q811" t="n">
        <v>0</v>
      </c>
      <c r="R811" s="2" t="inlineStr"/>
    </row>
    <row r="812" ht="15" customHeight="1">
      <c r="A812" t="inlineStr">
        <is>
          <t>A 56855-2021</t>
        </is>
      </c>
      <c r="B812" s="1" t="n">
        <v>44481</v>
      </c>
      <c r="C812" s="1" t="n">
        <v>45962</v>
      </c>
      <c r="D812" t="inlineStr">
        <is>
          <t>SKÅNE LÄN</t>
        </is>
      </c>
      <c r="E812" t="inlineStr">
        <is>
          <t>LUND</t>
        </is>
      </c>
      <c r="G812" t="n">
        <v>2.7</v>
      </c>
      <c r="H812" t="n">
        <v>0</v>
      </c>
      <c r="I812" t="n">
        <v>0</v>
      </c>
      <c r="J812" t="n">
        <v>0</v>
      </c>
      <c r="K812" t="n">
        <v>0</v>
      </c>
      <c r="L812" t="n">
        <v>0</v>
      </c>
      <c r="M812" t="n">
        <v>0</v>
      </c>
      <c r="N812" t="n">
        <v>0</v>
      </c>
      <c r="O812" t="n">
        <v>0</v>
      </c>
      <c r="P812" t="n">
        <v>0</v>
      </c>
      <c r="Q812" t="n">
        <v>0</v>
      </c>
      <c r="R812" s="2" t="inlineStr"/>
    </row>
    <row r="813" ht="15" customHeight="1">
      <c r="A813" t="inlineStr">
        <is>
          <t>A 41272-2022</t>
        </is>
      </c>
      <c r="B813" s="1" t="n">
        <v>44825</v>
      </c>
      <c r="C813" s="1" t="n">
        <v>45962</v>
      </c>
      <c r="D813" t="inlineStr">
        <is>
          <t>SKÅNE LÄN</t>
        </is>
      </c>
      <c r="E813" t="inlineStr">
        <is>
          <t>KLIPPAN</t>
        </is>
      </c>
      <c r="F813" t="inlineStr">
        <is>
          <t>Övriga Aktiebolag</t>
        </is>
      </c>
      <c r="G813" t="n">
        <v>6.2</v>
      </c>
      <c r="H813" t="n">
        <v>0</v>
      </c>
      <c r="I813" t="n">
        <v>0</v>
      </c>
      <c r="J813" t="n">
        <v>0</v>
      </c>
      <c r="K813" t="n">
        <v>0</v>
      </c>
      <c r="L813" t="n">
        <v>0</v>
      </c>
      <c r="M813" t="n">
        <v>0</v>
      </c>
      <c r="N813" t="n">
        <v>0</v>
      </c>
      <c r="O813" t="n">
        <v>0</v>
      </c>
      <c r="P813" t="n">
        <v>0</v>
      </c>
      <c r="Q813" t="n">
        <v>0</v>
      </c>
      <c r="R813" s="2" t="inlineStr"/>
    </row>
    <row r="814" ht="15" customHeight="1">
      <c r="A814" t="inlineStr">
        <is>
          <t>A 60206-2020</t>
        </is>
      </c>
      <c r="B814" s="1" t="n">
        <v>44152</v>
      </c>
      <c r="C814" s="1" t="n">
        <v>45962</v>
      </c>
      <c r="D814" t="inlineStr">
        <is>
          <t>SKÅNE LÄN</t>
        </is>
      </c>
      <c r="E814" t="inlineStr">
        <is>
          <t>ÖSTRA GÖINGE</t>
        </is>
      </c>
      <c r="G814" t="n">
        <v>6.3</v>
      </c>
      <c r="H814" t="n">
        <v>0</v>
      </c>
      <c r="I814" t="n">
        <v>0</v>
      </c>
      <c r="J814" t="n">
        <v>0</v>
      </c>
      <c r="K814" t="n">
        <v>0</v>
      </c>
      <c r="L814" t="n">
        <v>0</v>
      </c>
      <c r="M814" t="n">
        <v>0</v>
      </c>
      <c r="N814" t="n">
        <v>0</v>
      </c>
      <c r="O814" t="n">
        <v>0</v>
      </c>
      <c r="P814" t="n">
        <v>0</v>
      </c>
      <c r="Q814" t="n">
        <v>0</v>
      </c>
      <c r="R814" s="2" t="inlineStr"/>
    </row>
    <row r="815" ht="15" customHeight="1">
      <c r="A815" t="inlineStr">
        <is>
          <t>A 62347-2020</t>
        </is>
      </c>
      <c r="B815" s="1" t="n">
        <v>44159</v>
      </c>
      <c r="C815" s="1" t="n">
        <v>45962</v>
      </c>
      <c r="D815" t="inlineStr">
        <is>
          <t>SKÅNE LÄN</t>
        </is>
      </c>
      <c r="E815" t="inlineStr">
        <is>
          <t>HÄSSLEHOLM</t>
        </is>
      </c>
      <c r="G815" t="n">
        <v>4</v>
      </c>
      <c r="H815" t="n">
        <v>0</v>
      </c>
      <c r="I815" t="n">
        <v>0</v>
      </c>
      <c r="J815" t="n">
        <v>0</v>
      </c>
      <c r="K815" t="n">
        <v>0</v>
      </c>
      <c r="L815" t="n">
        <v>0</v>
      </c>
      <c r="M815" t="n">
        <v>0</v>
      </c>
      <c r="N815" t="n">
        <v>0</v>
      </c>
      <c r="O815" t="n">
        <v>0</v>
      </c>
      <c r="P815" t="n">
        <v>0</v>
      </c>
      <c r="Q815" t="n">
        <v>0</v>
      </c>
      <c r="R815" s="2" t="inlineStr"/>
    </row>
    <row r="816" ht="15" customHeight="1">
      <c r="A816" t="inlineStr">
        <is>
          <t>A 9659-2021</t>
        </is>
      </c>
      <c r="B816" s="1" t="n">
        <v>44252</v>
      </c>
      <c r="C816" s="1" t="n">
        <v>45962</v>
      </c>
      <c r="D816" t="inlineStr">
        <is>
          <t>SKÅNE LÄN</t>
        </is>
      </c>
      <c r="E816" t="inlineStr">
        <is>
          <t>OSBY</t>
        </is>
      </c>
      <c r="G816" t="n">
        <v>0.7</v>
      </c>
      <c r="H816" t="n">
        <v>0</v>
      </c>
      <c r="I816" t="n">
        <v>0</v>
      </c>
      <c r="J816" t="n">
        <v>0</v>
      </c>
      <c r="K816" t="n">
        <v>0</v>
      </c>
      <c r="L816" t="n">
        <v>0</v>
      </c>
      <c r="M816" t="n">
        <v>0</v>
      </c>
      <c r="N816" t="n">
        <v>0</v>
      </c>
      <c r="O816" t="n">
        <v>0</v>
      </c>
      <c r="P816" t="n">
        <v>0</v>
      </c>
      <c r="Q816" t="n">
        <v>0</v>
      </c>
      <c r="R816" s="2" t="inlineStr"/>
    </row>
    <row r="817" ht="15" customHeight="1">
      <c r="A817" t="inlineStr">
        <is>
          <t>A 47803-2021</t>
        </is>
      </c>
      <c r="B817" s="1" t="n">
        <v>44448.61173611111</v>
      </c>
      <c r="C817" s="1" t="n">
        <v>45962</v>
      </c>
      <c r="D817" t="inlineStr">
        <is>
          <t>SKÅNE LÄN</t>
        </is>
      </c>
      <c r="E817" t="inlineStr">
        <is>
          <t>OSBY</t>
        </is>
      </c>
      <c r="G817" t="n">
        <v>0.8</v>
      </c>
      <c r="H817" t="n">
        <v>0</v>
      </c>
      <c r="I817" t="n">
        <v>0</v>
      </c>
      <c r="J817" t="n">
        <v>0</v>
      </c>
      <c r="K817" t="n">
        <v>0</v>
      </c>
      <c r="L817" t="n">
        <v>0</v>
      </c>
      <c r="M817" t="n">
        <v>0</v>
      </c>
      <c r="N817" t="n">
        <v>0</v>
      </c>
      <c r="O817" t="n">
        <v>0</v>
      </c>
      <c r="P817" t="n">
        <v>0</v>
      </c>
      <c r="Q817" t="n">
        <v>0</v>
      </c>
      <c r="R817" s="2" t="inlineStr"/>
    </row>
    <row r="818" ht="15" customHeight="1">
      <c r="A818" t="inlineStr">
        <is>
          <t>A 11775-2022</t>
        </is>
      </c>
      <c r="B818" s="1" t="n">
        <v>44634.59737268519</v>
      </c>
      <c r="C818" s="1" t="n">
        <v>45962</v>
      </c>
      <c r="D818" t="inlineStr">
        <is>
          <t>SKÅNE LÄN</t>
        </is>
      </c>
      <c r="E818" t="inlineStr">
        <is>
          <t>ÄNGELHOLM</t>
        </is>
      </c>
      <c r="G818" t="n">
        <v>0.6</v>
      </c>
      <c r="H818" t="n">
        <v>0</v>
      </c>
      <c r="I818" t="n">
        <v>0</v>
      </c>
      <c r="J818" t="n">
        <v>0</v>
      </c>
      <c r="K818" t="n">
        <v>0</v>
      </c>
      <c r="L818" t="n">
        <v>0</v>
      </c>
      <c r="M818" t="n">
        <v>0</v>
      </c>
      <c r="N818" t="n">
        <v>0</v>
      </c>
      <c r="O818" t="n">
        <v>0</v>
      </c>
      <c r="P818" t="n">
        <v>0</v>
      </c>
      <c r="Q818" t="n">
        <v>0</v>
      </c>
      <c r="R818" s="2" t="inlineStr"/>
    </row>
    <row r="819" ht="15" customHeight="1">
      <c r="A819" t="inlineStr">
        <is>
          <t>A 35901-2022</t>
        </is>
      </c>
      <c r="B819" s="1" t="n">
        <v>44802.48579861111</v>
      </c>
      <c r="C819" s="1" t="n">
        <v>45962</v>
      </c>
      <c r="D819" t="inlineStr">
        <is>
          <t>SKÅNE LÄN</t>
        </is>
      </c>
      <c r="E819" t="inlineStr">
        <is>
          <t>OSBY</t>
        </is>
      </c>
      <c r="F819" t="inlineStr">
        <is>
          <t>Kyrkan</t>
        </is>
      </c>
      <c r="G819" t="n">
        <v>7.1</v>
      </c>
      <c r="H819" t="n">
        <v>0</v>
      </c>
      <c r="I819" t="n">
        <v>0</v>
      </c>
      <c r="J819" t="n">
        <v>0</v>
      </c>
      <c r="K819" t="n">
        <v>0</v>
      </c>
      <c r="L819" t="n">
        <v>0</v>
      </c>
      <c r="M819" t="n">
        <v>0</v>
      </c>
      <c r="N819" t="n">
        <v>0</v>
      </c>
      <c r="O819" t="n">
        <v>0</v>
      </c>
      <c r="P819" t="n">
        <v>0</v>
      </c>
      <c r="Q819" t="n">
        <v>0</v>
      </c>
      <c r="R819" s="2" t="inlineStr"/>
    </row>
    <row r="820" ht="15" customHeight="1">
      <c r="A820" t="inlineStr">
        <is>
          <t>A 19159-2021</t>
        </is>
      </c>
      <c r="B820" s="1" t="n">
        <v>44308</v>
      </c>
      <c r="C820" s="1" t="n">
        <v>45962</v>
      </c>
      <c r="D820" t="inlineStr">
        <is>
          <t>SKÅNE LÄN</t>
        </is>
      </c>
      <c r="E820" t="inlineStr">
        <is>
          <t>SVALÖV</t>
        </is>
      </c>
      <c r="G820" t="n">
        <v>0.8</v>
      </c>
      <c r="H820" t="n">
        <v>0</v>
      </c>
      <c r="I820" t="n">
        <v>0</v>
      </c>
      <c r="J820" t="n">
        <v>0</v>
      </c>
      <c r="K820" t="n">
        <v>0</v>
      </c>
      <c r="L820" t="n">
        <v>0</v>
      </c>
      <c r="M820" t="n">
        <v>0</v>
      </c>
      <c r="N820" t="n">
        <v>0</v>
      </c>
      <c r="O820" t="n">
        <v>0</v>
      </c>
      <c r="P820" t="n">
        <v>0</v>
      </c>
      <c r="Q820" t="n">
        <v>0</v>
      </c>
      <c r="R820" s="2" t="inlineStr"/>
    </row>
    <row r="821" ht="15" customHeight="1">
      <c r="A821" t="inlineStr">
        <is>
          <t>A 57811-2020</t>
        </is>
      </c>
      <c r="B821" s="1" t="n">
        <v>44141</v>
      </c>
      <c r="C821" s="1" t="n">
        <v>45962</v>
      </c>
      <c r="D821" t="inlineStr">
        <is>
          <t>SKÅNE LÄN</t>
        </is>
      </c>
      <c r="E821" t="inlineStr">
        <is>
          <t>HÄSSLEHOLM</t>
        </is>
      </c>
      <c r="G821" t="n">
        <v>2</v>
      </c>
      <c r="H821" t="n">
        <v>0</v>
      </c>
      <c r="I821" t="n">
        <v>0</v>
      </c>
      <c r="J821" t="n">
        <v>0</v>
      </c>
      <c r="K821" t="n">
        <v>0</v>
      </c>
      <c r="L821" t="n">
        <v>0</v>
      </c>
      <c r="M821" t="n">
        <v>0</v>
      </c>
      <c r="N821" t="n">
        <v>0</v>
      </c>
      <c r="O821" t="n">
        <v>0</v>
      </c>
      <c r="P821" t="n">
        <v>0</v>
      </c>
      <c r="Q821" t="n">
        <v>0</v>
      </c>
      <c r="R821" s="2" t="inlineStr"/>
    </row>
    <row r="822" ht="15" customHeight="1">
      <c r="A822" t="inlineStr">
        <is>
          <t>A 55495-2022</t>
        </is>
      </c>
      <c r="B822" s="1" t="n">
        <v>44887.7209375</v>
      </c>
      <c r="C822" s="1" t="n">
        <v>45962</v>
      </c>
      <c r="D822" t="inlineStr">
        <is>
          <t>SKÅNE LÄN</t>
        </is>
      </c>
      <c r="E822" t="inlineStr">
        <is>
          <t>ÖSTRA GÖINGE</t>
        </is>
      </c>
      <c r="G822" t="n">
        <v>0.5</v>
      </c>
      <c r="H822" t="n">
        <v>0</v>
      </c>
      <c r="I822" t="n">
        <v>0</v>
      </c>
      <c r="J822" t="n">
        <v>0</v>
      </c>
      <c r="K822" t="n">
        <v>0</v>
      </c>
      <c r="L822" t="n">
        <v>0</v>
      </c>
      <c r="M822" t="n">
        <v>0</v>
      </c>
      <c r="N822" t="n">
        <v>0</v>
      </c>
      <c r="O822" t="n">
        <v>0</v>
      </c>
      <c r="P822" t="n">
        <v>0</v>
      </c>
      <c r="Q822" t="n">
        <v>0</v>
      </c>
      <c r="R822" s="2" t="inlineStr"/>
    </row>
    <row r="823" ht="15" customHeight="1">
      <c r="A823" t="inlineStr">
        <is>
          <t>A 58887-2020</t>
        </is>
      </c>
      <c r="B823" s="1" t="n">
        <v>44146</v>
      </c>
      <c r="C823" s="1" t="n">
        <v>45962</v>
      </c>
      <c r="D823" t="inlineStr">
        <is>
          <t>SKÅNE LÄN</t>
        </is>
      </c>
      <c r="E823" t="inlineStr">
        <is>
          <t>KRISTIANSTAD</t>
        </is>
      </c>
      <c r="G823" t="n">
        <v>5.3</v>
      </c>
      <c r="H823" t="n">
        <v>0</v>
      </c>
      <c r="I823" t="n">
        <v>0</v>
      </c>
      <c r="J823" t="n">
        <v>0</v>
      </c>
      <c r="K823" t="n">
        <v>0</v>
      </c>
      <c r="L823" t="n">
        <v>0</v>
      </c>
      <c r="M823" t="n">
        <v>0</v>
      </c>
      <c r="N823" t="n">
        <v>0</v>
      </c>
      <c r="O823" t="n">
        <v>0</v>
      </c>
      <c r="P823" t="n">
        <v>0</v>
      </c>
      <c r="Q823" t="n">
        <v>0</v>
      </c>
      <c r="R823" s="2" t="inlineStr"/>
    </row>
    <row r="824" ht="15" customHeight="1">
      <c r="A824" t="inlineStr">
        <is>
          <t>A 43655-2021</t>
        </is>
      </c>
      <c r="B824" s="1" t="n">
        <v>44433</v>
      </c>
      <c r="C824" s="1" t="n">
        <v>45962</v>
      </c>
      <c r="D824" t="inlineStr">
        <is>
          <t>SKÅNE LÄN</t>
        </is>
      </c>
      <c r="E824" t="inlineStr">
        <is>
          <t>KRISTIANSTAD</t>
        </is>
      </c>
      <c r="F824" t="inlineStr">
        <is>
          <t>Övriga Aktiebolag</t>
        </is>
      </c>
      <c r="G824" t="n">
        <v>1.9</v>
      </c>
      <c r="H824" t="n">
        <v>0</v>
      </c>
      <c r="I824" t="n">
        <v>0</v>
      </c>
      <c r="J824" t="n">
        <v>0</v>
      </c>
      <c r="K824" t="n">
        <v>0</v>
      </c>
      <c r="L824" t="n">
        <v>0</v>
      </c>
      <c r="M824" t="n">
        <v>0</v>
      </c>
      <c r="N824" t="n">
        <v>0</v>
      </c>
      <c r="O824" t="n">
        <v>0</v>
      </c>
      <c r="P824" t="n">
        <v>0</v>
      </c>
      <c r="Q824" t="n">
        <v>0</v>
      </c>
      <c r="R824" s="2" t="inlineStr"/>
    </row>
    <row r="825" ht="15" customHeight="1">
      <c r="A825" t="inlineStr">
        <is>
          <t>A 59542-2020</t>
        </is>
      </c>
      <c r="B825" s="1" t="n">
        <v>44148</v>
      </c>
      <c r="C825" s="1" t="n">
        <v>45962</v>
      </c>
      <c r="D825" t="inlineStr">
        <is>
          <t>SKÅNE LÄN</t>
        </is>
      </c>
      <c r="E825" t="inlineStr">
        <is>
          <t>HÄSSLEHOLM</t>
        </is>
      </c>
      <c r="G825" t="n">
        <v>0.7</v>
      </c>
      <c r="H825" t="n">
        <v>0</v>
      </c>
      <c r="I825" t="n">
        <v>0</v>
      </c>
      <c r="J825" t="n">
        <v>0</v>
      </c>
      <c r="K825" t="n">
        <v>0</v>
      </c>
      <c r="L825" t="n">
        <v>0</v>
      </c>
      <c r="M825" t="n">
        <v>0</v>
      </c>
      <c r="N825" t="n">
        <v>0</v>
      </c>
      <c r="O825" t="n">
        <v>0</v>
      </c>
      <c r="P825" t="n">
        <v>0</v>
      </c>
      <c r="Q825" t="n">
        <v>0</v>
      </c>
      <c r="R825" s="2" t="inlineStr"/>
    </row>
    <row r="826" ht="15" customHeight="1">
      <c r="A826" t="inlineStr">
        <is>
          <t>A 23830-2021</t>
        </is>
      </c>
      <c r="B826" s="1" t="n">
        <v>44335</v>
      </c>
      <c r="C826" s="1" t="n">
        <v>45962</v>
      </c>
      <c r="D826" t="inlineStr">
        <is>
          <t>SKÅNE LÄN</t>
        </is>
      </c>
      <c r="E826" t="inlineStr">
        <is>
          <t>HÄSSLEHOLM</t>
        </is>
      </c>
      <c r="G826" t="n">
        <v>18.7</v>
      </c>
      <c r="H826" t="n">
        <v>0</v>
      </c>
      <c r="I826" t="n">
        <v>0</v>
      </c>
      <c r="J826" t="n">
        <v>0</v>
      </c>
      <c r="K826" t="n">
        <v>0</v>
      </c>
      <c r="L826" t="n">
        <v>0</v>
      </c>
      <c r="M826" t="n">
        <v>0</v>
      </c>
      <c r="N826" t="n">
        <v>0</v>
      </c>
      <c r="O826" t="n">
        <v>0</v>
      </c>
      <c r="P826" t="n">
        <v>0</v>
      </c>
      <c r="Q826" t="n">
        <v>0</v>
      </c>
      <c r="R826" s="2" t="inlineStr"/>
    </row>
    <row r="827" ht="15" customHeight="1">
      <c r="A827" t="inlineStr">
        <is>
          <t>A 23362-2021</t>
        </is>
      </c>
      <c r="B827" s="1" t="n">
        <v>44333</v>
      </c>
      <c r="C827" s="1" t="n">
        <v>45962</v>
      </c>
      <c r="D827" t="inlineStr">
        <is>
          <t>SKÅNE LÄN</t>
        </is>
      </c>
      <c r="E827" t="inlineStr">
        <is>
          <t>LANDSKRONA</t>
        </is>
      </c>
      <c r="G827" t="n">
        <v>1.5</v>
      </c>
      <c r="H827" t="n">
        <v>0</v>
      </c>
      <c r="I827" t="n">
        <v>0</v>
      </c>
      <c r="J827" t="n">
        <v>0</v>
      </c>
      <c r="K827" t="n">
        <v>0</v>
      </c>
      <c r="L827" t="n">
        <v>0</v>
      </c>
      <c r="M827" t="n">
        <v>0</v>
      </c>
      <c r="N827" t="n">
        <v>0</v>
      </c>
      <c r="O827" t="n">
        <v>0</v>
      </c>
      <c r="P827" t="n">
        <v>0</v>
      </c>
      <c r="Q827" t="n">
        <v>0</v>
      </c>
      <c r="R827" s="2" t="inlineStr"/>
    </row>
    <row r="828" ht="15" customHeight="1">
      <c r="A828" t="inlineStr">
        <is>
          <t>A 7729-2021</t>
        </is>
      </c>
      <c r="B828" s="1" t="n">
        <v>44242</v>
      </c>
      <c r="C828" s="1" t="n">
        <v>45962</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9046-2021</t>
        </is>
      </c>
      <c r="B829" s="1" t="n">
        <v>44246</v>
      </c>
      <c r="C829" s="1" t="n">
        <v>45962</v>
      </c>
      <c r="D829" t="inlineStr">
        <is>
          <t>SKÅNE LÄN</t>
        </is>
      </c>
      <c r="E829" t="inlineStr">
        <is>
          <t>KLIPPAN</t>
        </is>
      </c>
      <c r="G829" t="n">
        <v>0.4</v>
      </c>
      <c r="H829" t="n">
        <v>0</v>
      </c>
      <c r="I829" t="n">
        <v>0</v>
      </c>
      <c r="J829" t="n">
        <v>0</v>
      </c>
      <c r="K829" t="n">
        <v>0</v>
      </c>
      <c r="L829" t="n">
        <v>0</v>
      </c>
      <c r="M829" t="n">
        <v>0</v>
      </c>
      <c r="N829" t="n">
        <v>0</v>
      </c>
      <c r="O829" t="n">
        <v>0</v>
      </c>
      <c r="P829" t="n">
        <v>0</v>
      </c>
      <c r="Q829" t="n">
        <v>0</v>
      </c>
      <c r="R829" s="2" t="inlineStr"/>
    </row>
    <row r="830" ht="15" customHeight="1">
      <c r="A830" t="inlineStr">
        <is>
          <t>A 52196-2021</t>
        </is>
      </c>
      <c r="B830" s="1" t="n">
        <v>44463</v>
      </c>
      <c r="C830" s="1" t="n">
        <v>45962</v>
      </c>
      <c r="D830" t="inlineStr">
        <is>
          <t>SKÅNE LÄN</t>
        </is>
      </c>
      <c r="E830" t="inlineStr">
        <is>
          <t>OSBY</t>
        </is>
      </c>
      <c r="G830" t="n">
        <v>2.9</v>
      </c>
      <c r="H830" t="n">
        <v>0</v>
      </c>
      <c r="I830" t="n">
        <v>0</v>
      </c>
      <c r="J830" t="n">
        <v>0</v>
      </c>
      <c r="K830" t="n">
        <v>0</v>
      </c>
      <c r="L830" t="n">
        <v>0</v>
      </c>
      <c r="M830" t="n">
        <v>0</v>
      </c>
      <c r="N830" t="n">
        <v>0</v>
      </c>
      <c r="O830" t="n">
        <v>0</v>
      </c>
      <c r="P830" t="n">
        <v>0</v>
      </c>
      <c r="Q830" t="n">
        <v>0</v>
      </c>
      <c r="R830" s="2" t="inlineStr"/>
    </row>
    <row r="831" ht="15" customHeight="1">
      <c r="A831" t="inlineStr">
        <is>
          <t>A 197-2021</t>
        </is>
      </c>
      <c r="B831" s="1" t="n">
        <v>44200</v>
      </c>
      <c r="C831" s="1" t="n">
        <v>45962</v>
      </c>
      <c r="D831" t="inlineStr">
        <is>
          <t>SKÅNE LÄN</t>
        </is>
      </c>
      <c r="E831" t="inlineStr">
        <is>
          <t>HÄSSLEHOLM</t>
        </is>
      </c>
      <c r="G831" t="n">
        <v>12.9</v>
      </c>
      <c r="H831" t="n">
        <v>0</v>
      </c>
      <c r="I831" t="n">
        <v>0</v>
      </c>
      <c r="J831" t="n">
        <v>0</v>
      </c>
      <c r="K831" t="n">
        <v>0</v>
      </c>
      <c r="L831" t="n">
        <v>0</v>
      </c>
      <c r="M831" t="n">
        <v>0</v>
      </c>
      <c r="N831" t="n">
        <v>0</v>
      </c>
      <c r="O831" t="n">
        <v>0</v>
      </c>
      <c r="P831" t="n">
        <v>0</v>
      </c>
      <c r="Q831" t="n">
        <v>0</v>
      </c>
      <c r="R831" s="2" t="inlineStr"/>
    </row>
    <row r="832" ht="15" customHeight="1">
      <c r="A832" t="inlineStr">
        <is>
          <t>A 9180-2021</t>
        </is>
      </c>
      <c r="B832" s="1" t="n">
        <v>44250</v>
      </c>
      <c r="C832" s="1" t="n">
        <v>45962</v>
      </c>
      <c r="D832" t="inlineStr">
        <is>
          <t>SKÅNE LÄN</t>
        </is>
      </c>
      <c r="E832" t="inlineStr">
        <is>
          <t>TOMELILLA</t>
        </is>
      </c>
      <c r="F832" t="inlineStr">
        <is>
          <t>Övriga Aktiebolag</t>
        </is>
      </c>
      <c r="G832" t="n">
        <v>11</v>
      </c>
      <c r="H832" t="n">
        <v>0</v>
      </c>
      <c r="I832" t="n">
        <v>0</v>
      </c>
      <c r="J832" t="n">
        <v>0</v>
      </c>
      <c r="K832" t="n">
        <v>0</v>
      </c>
      <c r="L832" t="n">
        <v>0</v>
      </c>
      <c r="M832" t="n">
        <v>0</v>
      </c>
      <c r="N832" t="n">
        <v>0</v>
      </c>
      <c r="O832" t="n">
        <v>0</v>
      </c>
      <c r="P832" t="n">
        <v>0</v>
      </c>
      <c r="Q832" t="n">
        <v>0</v>
      </c>
      <c r="R832" s="2" t="inlineStr"/>
    </row>
    <row r="833" ht="15" customHeight="1">
      <c r="A833" t="inlineStr">
        <is>
          <t>A 23003-2021</t>
        </is>
      </c>
      <c r="B833" s="1" t="n">
        <v>44328</v>
      </c>
      <c r="C833" s="1" t="n">
        <v>45962</v>
      </c>
      <c r="D833" t="inlineStr">
        <is>
          <t>SKÅNE LÄN</t>
        </is>
      </c>
      <c r="E833" t="inlineStr">
        <is>
          <t>HÄSSLEHOLM</t>
        </is>
      </c>
      <c r="G833" t="n">
        <v>4.4</v>
      </c>
      <c r="H833" t="n">
        <v>0</v>
      </c>
      <c r="I833" t="n">
        <v>0</v>
      </c>
      <c r="J833" t="n">
        <v>0</v>
      </c>
      <c r="K833" t="n">
        <v>0</v>
      </c>
      <c r="L833" t="n">
        <v>0</v>
      </c>
      <c r="M833" t="n">
        <v>0</v>
      </c>
      <c r="N833" t="n">
        <v>0</v>
      </c>
      <c r="O833" t="n">
        <v>0</v>
      </c>
      <c r="P833" t="n">
        <v>0</v>
      </c>
      <c r="Q833" t="n">
        <v>0</v>
      </c>
      <c r="R833" s="2" t="inlineStr"/>
    </row>
    <row r="834" ht="15" customHeight="1">
      <c r="A834" t="inlineStr">
        <is>
          <t>A 56989-2021</t>
        </is>
      </c>
      <c r="B834" s="1" t="n">
        <v>44482</v>
      </c>
      <c r="C834" s="1" t="n">
        <v>45962</v>
      </c>
      <c r="D834" t="inlineStr">
        <is>
          <t>SKÅNE LÄN</t>
        </is>
      </c>
      <c r="E834" t="inlineStr">
        <is>
          <t>HÄSSLEHOLM</t>
        </is>
      </c>
      <c r="G834" t="n">
        <v>1.1</v>
      </c>
      <c r="H834" t="n">
        <v>0</v>
      </c>
      <c r="I834" t="n">
        <v>0</v>
      </c>
      <c r="J834" t="n">
        <v>0</v>
      </c>
      <c r="K834" t="n">
        <v>0</v>
      </c>
      <c r="L834" t="n">
        <v>0</v>
      </c>
      <c r="M834" t="n">
        <v>0</v>
      </c>
      <c r="N834" t="n">
        <v>0</v>
      </c>
      <c r="O834" t="n">
        <v>0</v>
      </c>
      <c r="P834" t="n">
        <v>0</v>
      </c>
      <c r="Q834" t="n">
        <v>0</v>
      </c>
      <c r="R834" s="2" t="inlineStr"/>
    </row>
    <row r="835" ht="15" customHeight="1">
      <c r="A835" t="inlineStr">
        <is>
          <t>A 51120-2021</t>
        </is>
      </c>
      <c r="B835" s="1" t="n">
        <v>44461.42746527777</v>
      </c>
      <c r="C835" s="1" t="n">
        <v>45962</v>
      </c>
      <c r="D835" t="inlineStr">
        <is>
          <t>SKÅNE LÄN</t>
        </is>
      </c>
      <c r="E835" t="inlineStr">
        <is>
          <t>HÖÖR</t>
        </is>
      </c>
      <c r="G835" t="n">
        <v>1</v>
      </c>
      <c r="H835" t="n">
        <v>0</v>
      </c>
      <c r="I835" t="n">
        <v>0</v>
      </c>
      <c r="J835" t="n">
        <v>0</v>
      </c>
      <c r="K835" t="n">
        <v>0</v>
      </c>
      <c r="L835" t="n">
        <v>0</v>
      </c>
      <c r="M835" t="n">
        <v>0</v>
      </c>
      <c r="N835" t="n">
        <v>0</v>
      </c>
      <c r="O835" t="n">
        <v>0</v>
      </c>
      <c r="P835" t="n">
        <v>0</v>
      </c>
      <c r="Q835" t="n">
        <v>0</v>
      </c>
      <c r="R835" s="2" t="inlineStr"/>
    </row>
    <row r="836" ht="15" customHeight="1">
      <c r="A836" t="inlineStr">
        <is>
          <t>A 51159-2021</t>
        </is>
      </c>
      <c r="B836" s="1" t="n">
        <v>44461</v>
      </c>
      <c r="C836" s="1" t="n">
        <v>45962</v>
      </c>
      <c r="D836" t="inlineStr">
        <is>
          <t>SKÅNE LÄN</t>
        </is>
      </c>
      <c r="E836" t="inlineStr">
        <is>
          <t>HÄSSLEHOLM</t>
        </is>
      </c>
      <c r="F836" t="inlineStr">
        <is>
          <t>Kommuner</t>
        </is>
      </c>
      <c r="G836" t="n">
        <v>0.8</v>
      </c>
      <c r="H836" t="n">
        <v>0</v>
      </c>
      <c r="I836" t="n">
        <v>0</v>
      </c>
      <c r="J836" t="n">
        <v>0</v>
      </c>
      <c r="K836" t="n">
        <v>0</v>
      </c>
      <c r="L836" t="n">
        <v>0</v>
      </c>
      <c r="M836" t="n">
        <v>0</v>
      </c>
      <c r="N836" t="n">
        <v>0</v>
      </c>
      <c r="O836" t="n">
        <v>0</v>
      </c>
      <c r="P836" t="n">
        <v>0</v>
      </c>
      <c r="Q836" t="n">
        <v>0</v>
      </c>
      <c r="R836" s="2" t="inlineStr"/>
    </row>
    <row r="837" ht="15" customHeight="1">
      <c r="A837" t="inlineStr">
        <is>
          <t>A 22947-2021</t>
        </is>
      </c>
      <c r="B837" s="1" t="n">
        <v>44327</v>
      </c>
      <c r="C837" s="1" t="n">
        <v>45962</v>
      </c>
      <c r="D837" t="inlineStr">
        <is>
          <t>SKÅNE LÄN</t>
        </is>
      </c>
      <c r="E837" t="inlineStr">
        <is>
          <t>OSBY</t>
        </is>
      </c>
      <c r="G837" t="n">
        <v>0.5</v>
      </c>
      <c r="H837" t="n">
        <v>0</v>
      </c>
      <c r="I837" t="n">
        <v>0</v>
      </c>
      <c r="J837" t="n">
        <v>0</v>
      </c>
      <c r="K837" t="n">
        <v>0</v>
      </c>
      <c r="L837" t="n">
        <v>0</v>
      </c>
      <c r="M837" t="n">
        <v>0</v>
      </c>
      <c r="N837" t="n">
        <v>0</v>
      </c>
      <c r="O837" t="n">
        <v>0</v>
      </c>
      <c r="P837" t="n">
        <v>0</v>
      </c>
      <c r="Q837" t="n">
        <v>0</v>
      </c>
      <c r="R837" s="2" t="inlineStr"/>
    </row>
    <row r="838" ht="15" customHeight="1">
      <c r="A838" t="inlineStr">
        <is>
          <t>A 22958-2021</t>
        </is>
      </c>
      <c r="B838" s="1" t="n">
        <v>44328</v>
      </c>
      <c r="C838" s="1" t="n">
        <v>45962</v>
      </c>
      <c r="D838" t="inlineStr">
        <is>
          <t>SKÅNE LÄN</t>
        </is>
      </c>
      <c r="E838" t="inlineStr">
        <is>
          <t>KRISTIANSTAD</t>
        </is>
      </c>
      <c r="G838" t="n">
        <v>6.4</v>
      </c>
      <c r="H838" t="n">
        <v>0</v>
      </c>
      <c r="I838" t="n">
        <v>0</v>
      </c>
      <c r="J838" t="n">
        <v>0</v>
      </c>
      <c r="K838" t="n">
        <v>0</v>
      </c>
      <c r="L838" t="n">
        <v>0</v>
      </c>
      <c r="M838" t="n">
        <v>0</v>
      </c>
      <c r="N838" t="n">
        <v>0</v>
      </c>
      <c r="O838" t="n">
        <v>0</v>
      </c>
      <c r="P838" t="n">
        <v>0</v>
      </c>
      <c r="Q838" t="n">
        <v>0</v>
      </c>
      <c r="R838" s="2" t="inlineStr"/>
    </row>
    <row r="839" ht="15" customHeight="1">
      <c r="A839" t="inlineStr">
        <is>
          <t>A 11616-2021</t>
        </is>
      </c>
      <c r="B839" s="1" t="n">
        <v>44264.63064814815</v>
      </c>
      <c r="C839" s="1" t="n">
        <v>45962</v>
      </c>
      <c r="D839" t="inlineStr">
        <is>
          <t>SKÅNE LÄN</t>
        </is>
      </c>
      <c r="E839" t="inlineStr">
        <is>
          <t>HÄSSLEHOLM</t>
        </is>
      </c>
      <c r="G839" t="n">
        <v>0.5</v>
      </c>
      <c r="H839" t="n">
        <v>0</v>
      </c>
      <c r="I839" t="n">
        <v>0</v>
      </c>
      <c r="J839" t="n">
        <v>0</v>
      </c>
      <c r="K839" t="n">
        <v>0</v>
      </c>
      <c r="L839" t="n">
        <v>0</v>
      </c>
      <c r="M839" t="n">
        <v>0</v>
      </c>
      <c r="N839" t="n">
        <v>0</v>
      </c>
      <c r="O839" t="n">
        <v>0</v>
      </c>
      <c r="P839" t="n">
        <v>0</v>
      </c>
      <c r="Q839" t="n">
        <v>0</v>
      </c>
      <c r="R839" s="2" t="inlineStr"/>
    </row>
    <row r="840" ht="15" customHeight="1">
      <c r="A840" t="inlineStr">
        <is>
          <t>A 25383-2021</t>
        </is>
      </c>
      <c r="B840" s="1" t="n">
        <v>44342</v>
      </c>
      <c r="C840" s="1" t="n">
        <v>45962</v>
      </c>
      <c r="D840" t="inlineStr">
        <is>
          <t>SKÅNE LÄN</t>
        </is>
      </c>
      <c r="E840" t="inlineStr">
        <is>
          <t>HÄSSLEHOLM</t>
        </is>
      </c>
      <c r="G840" t="n">
        <v>0.7</v>
      </c>
      <c r="H840" t="n">
        <v>0</v>
      </c>
      <c r="I840" t="n">
        <v>0</v>
      </c>
      <c r="J840" t="n">
        <v>0</v>
      </c>
      <c r="K840" t="n">
        <v>0</v>
      </c>
      <c r="L840" t="n">
        <v>0</v>
      </c>
      <c r="M840" t="n">
        <v>0</v>
      </c>
      <c r="N840" t="n">
        <v>0</v>
      </c>
      <c r="O840" t="n">
        <v>0</v>
      </c>
      <c r="P840" t="n">
        <v>0</v>
      </c>
      <c r="Q840" t="n">
        <v>0</v>
      </c>
      <c r="R840" s="2" t="inlineStr"/>
    </row>
    <row r="841" ht="15" customHeight="1">
      <c r="A841" t="inlineStr">
        <is>
          <t>A 50463-2021</t>
        </is>
      </c>
      <c r="B841" s="1" t="n">
        <v>44455</v>
      </c>
      <c r="C841" s="1" t="n">
        <v>45962</v>
      </c>
      <c r="D841" t="inlineStr">
        <is>
          <t>SKÅNE LÄN</t>
        </is>
      </c>
      <c r="E841" t="inlineStr">
        <is>
          <t>SJÖBO</t>
        </is>
      </c>
      <c r="G841" t="n">
        <v>0.4</v>
      </c>
      <c r="H841" t="n">
        <v>0</v>
      </c>
      <c r="I841" t="n">
        <v>0</v>
      </c>
      <c r="J841" t="n">
        <v>0</v>
      </c>
      <c r="K841" t="n">
        <v>0</v>
      </c>
      <c r="L841" t="n">
        <v>0</v>
      </c>
      <c r="M841" t="n">
        <v>0</v>
      </c>
      <c r="N841" t="n">
        <v>0</v>
      </c>
      <c r="O841" t="n">
        <v>0</v>
      </c>
      <c r="P841" t="n">
        <v>0</v>
      </c>
      <c r="Q841" t="n">
        <v>0</v>
      </c>
      <c r="R841" s="2" t="inlineStr"/>
    </row>
    <row r="842" ht="15" customHeight="1">
      <c r="A842" t="inlineStr">
        <is>
          <t>A 5091-2022</t>
        </is>
      </c>
      <c r="B842" s="1" t="n">
        <v>44593.85114583333</v>
      </c>
      <c r="C842" s="1" t="n">
        <v>45962</v>
      </c>
      <c r="D842" t="inlineStr">
        <is>
          <t>SKÅNE LÄN</t>
        </is>
      </c>
      <c r="E842" t="inlineStr">
        <is>
          <t>HÄSSLEHOLM</t>
        </is>
      </c>
      <c r="G842" t="n">
        <v>2.5</v>
      </c>
      <c r="H842" t="n">
        <v>0</v>
      </c>
      <c r="I842" t="n">
        <v>0</v>
      </c>
      <c r="J842" t="n">
        <v>0</v>
      </c>
      <c r="K842" t="n">
        <v>0</v>
      </c>
      <c r="L842" t="n">
        <v>0</v>
      </c>
      <c r="M842" t="n">
        <v>0</v>
      </c>
      <c r="N842" t="n">
        <v>0</v>
      </c>
      <c r="O842" t="n">
        <v>0</v>
      </c>
      <c r="P842" t="n">
        <v>0</v>
      </c>
      <c r="Q842" t="n">
        <v>0</v>
      </c>
      <c r="R842" s="2" t="inlineStr"/>
    </row>
    <row r="843" ht="15" customHeight="1">
      <c r="A843" t="inlineStr">
        <is>
          <t>A 42963-2022</t>
        </is>
      </c>
      <c r="B843" s="1" t="n">
        <v>44833.41712962963</v>
      </c>
      <c r="C843" s="1" t="n">
        <v>45962</v>
      </c>
      <c r="D843" t="inlineStr">
        <is>
          <t>SKÅNE LÄN</t>
        </is>
      </c>
      <c r="E843" t="inlineStr">
        <is>
          <t>BROMÖLLA</t>
        </is>
      </c>
      <c r="G843" t="n">
        <v>1.2</v>
      </c>
      <c r="H843" t="n">
        <v>0</v>
      </c>
      <c r="I843" t="n">
        <v>0</v>
      </c>
      <c r="J843" t="n">
        <v>0</v>
      </c>
      <c r="K843" t="n">
        <v>0</v>
      </c>
      <c r="L843" t="n">
        <v>0</v>
      </c>
      <c r="M843" t="n">
        <v>0</v>
      </c>
      <c r="N843" t="n">
        <v>0</v>
      </c>
      <c r="O843" t="n">
        <v>0</v>
      </c>
      <c r="P843" t="n">
        <v>0</v>
      </c>
      <c r="Q843" t="n">
        <v>0</v>
      </c>
      <c r="R843" s="2" t="inlineStr"/>
    </row>
    <row r="844" ht="15" customHeight="1">
      <c r="A844" t="inlineStr">
        <is>
          <t>A 31675-2021</t>
        </is>
      </c>
      <c r="B844" s="1" t="n">
        <v>44369</v>
      </c>
      <c r="C844" s="1" t="n">
        <v>45962</v>
      </c>
      <c r="D844" t="inlineStr">
        <is>
          <t>SKÅNE LÄN</t>
        </is>
      </c>
      <c r="E844" t="inlineStr">
        <is>
          <t>SJÖBO</t>
        </is>
      </c>
      <c r="G844" t="n">
        <v>0.4</v>
      </c>
      <c r="H844" t="n">
        <v>0</v>
      </c>
      <c r="I844" t="n">
        <v>0</v>
      </c>
      <c r="J844" t="n">
        <v>0</v>
      </c>
      <c r="K844" t="n">
        <v>0</v>
      </c>
      <c r="L844" t="n">
        <v>0</v>
      </c>
      <c r="M844" t="n">
        <v>0</v>
      </c>
      <c r="N844" t="n">
        <v>0</v>
      </c>
      <c r="O844" t="n">
        <v>0</v>
      </c>
      <c r="P844" t="n">
        <v>0</v>
      </c>
      <c r="Q844" t="n">
        <v>0</v>
      </c>
      <c r="R844" s="2" t="inlineStr"/>
    </row>
    <row r="845" ht="15" customHeight="1">
      <c r="A845" t="inlineStr">
        <is>
          <t>A 51893-2021</t>
        </is>
      </c>
      <c r="B845" s="1" t="n">
        <v>44462</v>
      </c>
      <c r="C845" s="1" t="n">
        <v>45962</v>
      </c>
      <c r="D845" t="inlineStr">
        <is>
          <t>SKÅNE LÄN</t>
        </is>
      </c>
      <c r="E845" t="inlineStr">
        <is>
          <t>HÄSSLEHOLM</t>
        </is>
      </c>
      <c r="G845" t="n">
        <v>1</v>
      </c>
      <c r="H845" t="n">
        <v>0</v>
      </c>
      <c r="I845" t="n">
        <v>0</v>
      </c>
      <c r="J845" t="n">
        <v>0</v>
      </c>
      <c r="K845" t="n">
        <v>0</v>
      </c>
      <c r="L845" t="n">
        <v>0</v>
      </c>
      <c r="M845" t="n">
        <v>0</v>
      </c>
      <c r="N845" t="n">
        <v>0</v>
      </c>
      <c r="O845" t="n">
        <v>0</v>
      </c>
      <c r="P845" t="n">
        <v>0</v>
      </c>
      <c r="Q845" t="n">
        <v>0</v>
      </c>
      <c r="R845" s="2" t="inlineStr"/>
    </row>
    <row r="846" ht="15" customHeight="1">
      <c r="A846" t="inlineStr">
        <is>
          <t>A 22794-2021</t>
        </is>
      </c>
      <c r="B846" s="1" t="n">
        <v>44327.98402777778</v>
      </c>
      <c r="C846" s="1" t="n">
        <v>45962</v>
      </c>
      <c r="D846" t="inlineStr">
        <is>
          <t>SKÅNE LÄN</t>
        </is>
      </c>
      <c r="E846" t="inlineStr">
        <is>
          <t>ÖSTRA GÖINGE</t>
        </is>
      </c>
      <c r="G846" t="n">
        <v>0.8</v>
      </c>
      <c r="H846" t="n">
        <v>0</v>
      </c>
      <c r="I846" t="n">
        <v>0</v>
      </c>
      <c r="J846" t="n">
        <v>0</v>
      </c>
      <c r="K846" t="n">
        <v>0</v>
      </c>
      <c r="L846" t="n">
        <v>0</v>
      </c>
      <c r="M846" t="n">
        <v>0</v>
      </c>
      <c r="N846" t="n">
        <v>0</v>
      </c>
      <c r="O846" t="n">
        <v>0</v>
      </c>
      <c r="P846" t="n">
        <v>0</v>
      </c>
      <c r="Q846" t="n">
        <v>0</v>
      </c>
      <c r="R846" s="2" t="inlineStr"/>
    </row>
    <row r="847" ht="15" customHeight="1">
      <c r="A847" t="inlineStr">
        <is>
          <t>A 27330-2021</t>
        </is>
      </c>
      <c r="B847" s="1" t="n">
        <v>44351</v>
      </c>
      <c r="C847" s="1" t="n">
        <v>45962</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12919-2022</t>
        </is>
      </c>
      <c r="B848" s="1" t="n">
        <v>44642</v>
      </c>
      <c r="C848" s="1" t="n">
        <v>45962</v>
      </c>
      <c r="D848" t="inlineStr">
        <is>
          <t>SKÅNE LÄN</t>
        </is>
      </c>
      <c r="E848" t="inlineStr">
        <is>
          <t>TOMELILLA</t>
        </is>
      </c>
      <c r="F848" t="inlineStr">
        <is>
          <t>Övriga Aktiebolag</t>
        </is>
      </c>
      <c r="G848" t="n">
        <v>3.2</v>
      </c>
      <c r="H848" t="n">
        <v>0</v>
      </c>
      <c r="I848" t="n">
        <v>0</v>
      </c>
      <c r="J848" t="n">
        <v>0</v>
      </c>
      <c r="K848" t="n">
        <v>0</v>
      </c>
      <c r="L848" t="n">
        <v>0</v>
      </c>
      <c r="M848" t="n">
        <v>0</v>
      </c>
      <c r="N848" t="n">
        <v>0</v>
      </c>
      <c r="O848" t="n">
        <v>0</v>
      </c>
      <c r="P848" t="n">
        <v>0</v>
      </c>
      <c r="Q848" t="n">
        <v>0</v>
      </c>
      <c r="R848" s="2" t="inlineStr"/>
    </row>
    <row r="849" ht="15" customHeight="1">
      <c r="A849" t="inlineStr">
        <is>
          <t>A 55394-2022</t>
        </is>
      </c>
      <c r="B849" s="1" t="n">
        <v>44887.57112268519</v>
      </c>
      <c r="C849" s="1" t="n">
        <v>45962</v>
      </c>
      <c r="D849" t="inlineStr">
        <is>
          <t>SKÅNE LÄN</t>
        </is>
      </c>
      <c r="E849" t="inlineStr">
        <is>
          <t>HÄSSLEHOLM</t>
        </is>
      </c>
      <c r="G849" t="n">
        <v>0.5</v>
      </c>
      <c r="H849" t="n">
        <v>0</v>
      </c>
      <c r="I849" t="n">
        <v>0</v>
      </c>
      <c r="J849" t="n">
        <v>0</v>
      </c>
      <c r="K849" t="n">
        <v>0</v>
      </c>
      <c r="L849" t="n">
        <v>0</v>
      </c>
      <c r="M849" t="n">
        <v>0</v>
      </c>
      <c r="N849" t="n">
        <v>0</v>
      </c>
      <c r="O849" t="n">
        <v>0</v>
      </c>
      <c r="P849" t="n">
        <v>0</v>
      </c>
      <c r="Q849" t="n">
        <v>0</v>
      </c>
      <c r="R849" s="2" t="inlineStr"/>
    </row>
    <row r="850" ht="15" customHeight="1">
      <c r="A850" t="inlineStr">
        <is>
          <t>A 41896-2021</t>
        </is>
      </c>
      <c r="B850" s="1" t="n">
        <v>44426.35085648148</v>
      </c>
      <c r="C850" s="1" t="n">
        <v>45962</v>
      </c>
      <c r="D850" t="inlineStr">
        <is>
          <t>SKÅNE LÄN</t>
        </is>
      </c>
      <c r="E850" t="inlineStr">
        <is>
          <t>BROMÖLLA</t>
        </is>
      </c>
      <c r="G850" t="n">
        <v>1.6</v>
      </c>
      <c r="H850" t="n">
        <v>0</v>
      </c>
      <c r="I850" t="n">
        <v>0</v>
      </c>
      <c r="J850" t="n">
        <v>0</v>
      </c>
      <c r="K850" t="n">
        <v>0</v>
      </c>
      <c r="L850" t="n">
        <v>0</v>
      </c>
      <c r="M850" t="n">
        <v>0</v>
      </c>
      <c r="N850" t="n">
        <v>0</v>
      </c>
      <c r="O850" t="n">
        <v>0</v>
      </c>
      <c r="P850" t="n">
        <v>0</v>
      </c>
      <c r="Q850" t="n">
        <v>0</v>
      </c>
      <c r="R850" s="2" t="inlineStr"/>
    </row>
    <row r="851" ht="15" customHeight="1">
      <c r="A851" t="inlineStr">
        <is>
          <t>A 37073-2022</t>
        </is>
      </c>
      <c r="B851" s="1" t="n">
        <v>44806.48979166667</v>
      </c>
      <c r="C851" s="1" t="n">
        <v>45962</v>
      </c>
      <c r="D851" t="inlineStr">
        <is>
          <t>SKÅNE LÄN</t>
        </is>
      </c>
      <c r="E851" t="inlineStr">
        <is>
          <t>OSBY</t>
        </is>
      </c>
      <c r="G851" t="n">
        <v>0.5</v>
      </c>
      <c r="H851" t="n">
        <v>0</v>
      </c>
      <c r="I851" t="n">
        <v>0</v>
      </c>
      <c r="J851" t="n">
        <v>0</v>
      </c>
      <c r="K851" t="n">
        <v>0</v>
      </c>
      <c r="L851" t="n">
        <v>0</v>
      </c>
      <c r="M851" t="n">
        <v>0</v>
      </c>
      <c r="N851" t="n">
        <v>0</v>
      </c>
      <c r="O851" t="n">
        <v>0</v>
      </c>
      <c r="P851" t="n">
        <v>0</v>
      </c>
      <c r="Q851" t="n">
        <v>0</v>
      </c>
      <c r="R851" s="2" t="inlineStr"/>
    </row>
    <row r="852" ht="15" customHeight="1">
      <c r="A852" t="inlineStr">
        <is>
          <t>A 40238-2021</t>
        </is>
      </c>
      <c r="B852" s="1" t="n">
        <v>44418</v>
      </c>
      <c r="C852" s="1" t="n">
        <v>45962</v>
      </c>
      <c r="D852" t="inlineStr">
        <is>
          <t>SKÅNE LÄN</t>
        </is>
      </c>
      <c r="E852" t="inlineStr">
        <is>
          <t>KLIPPAN</t>
        </is>
      </c>
      <c r="F852" t="inlineStr">
        <is>
          <t>Övriga Aktiebolag</t>
        </is>
      </c>
      <c r="G852" t="n">
        <v>3.8</v>
      </c>
      <c r="H852" t="n">
        <v>0</v>
      </c>
      <c r="I852" t="n">
        <v>0</v>
      </c>
      <c r="J852" t="n">
        <v>0</v>
      </c>
      <c r="K852" t="n">
        <v>0</v>
      </c>
      <c r="L852" t="n">
        <v>0</v>
      </c>
      <c r="M852" t="n">
        <v>0</v>
      </c>
      <c r="N852" t="n">
        <v>0</v>
      </c>
      <c r="O852" t="n">
        <v>0</v>
      </c>
      <c r="P852" t="n">
        <v>0</v>
      </c>
      <c r="Q852" t="n">
        <v>0</v>
      </c>
      <c r="R852" s="2" t="inlineStr"/>
    </row>
    <row r="853" ht="15" customHeight="1">
      <c r="A853" t="inlineStr">
        <is>
          <t>A 60260-2021</t>
        </is>
      </c>
      <c r="B853" s="1" t="n">
        <v>44495</v>
      </c>
      <c r="C853" s="1" t="n">
        <v>45962</v>
      </c>
      <c r="D853" t="inlineStr">
        <is>
          <t>SKÅNE LÄN</t>
        </is>
      </c>
      <c r="E853" t="inlineStr">
        <is>
          <t>HÄSSLEHOLM</t>
        </is>
      </c>
      <c r="G853" t="n">
        <v>2.1</v>
      </c>
      <c r="H853" t="n">
        <v>0</v>
      </c>
      <c r="I853" t="n">
        <v>0</v>
      </c>
      <c r="J853" t="n">
        <v>0</v>
      </c>
      <c r="K853" t="n">
        <v>0</v>
      </c>
      <c r="L853" t="n">
        <v>0</v>
      </c>
      <c r="M853" t="n">
        <v>0</v>
      </c>
      <c r="N853" t="n">
        <v>0</v>
      </c>
      <c r="O853" t="n">
        <v>0</v>
      </c>
      <c r="P853" t="n">
        <v>0</v>
      </c>
      <c r="Q853" t="n">
        <v>0</v>
      </c>
      <c r="R853" s="2" t="inlineStr"/>
    </row>
    <row r="854" ht="15" customHeight="1">
      <c r="A854" t="inlineStr">
        <is>
          <t>A 65642-2021</t>
        </is>
      </c>
      <c r="B854" s="1" t="n">
        <v>44516</v>
      </c>
      <c r="C854" s="1" t="n">
        <v>45962</v>
      </c>
      <c r="D854" t="inlineStr">
        <is>
          <t>SKÅNE LÄN</t>
        </is>
      </c>
      <c r="E854" t="inlineStr">
        <is>
          <t>TRELLEBORG</t>
        </is>
      </c>
      <c r="G854" t="n">
        <v>0.2</v>
      </c>
      <c r="H854" t="n">
        <v>0</v>
      </c>
      <c r="I854" t="n">
        <v>0</v>
      </c>
      <c r="J854" t="n">
        <v>0</v>
      </c>
      <c r="K854" t="n">
        <v>0</v>
      </c>
      <c r="L854" t="n">
        <v>0</v>
      </c>
      <c r="M854" t="n">
        <v>0</v>
      </c>
      <c r="N854" t="n">
        <v>0</v>
      </c>
      <c r="O854" t="n">
        <v>0</v>
      </c>
      <c r="P854" t="n">
        <v>0</v>
      </c>
      <c r="Q854" t="n">
        <v>0</v>
      </c>
      <c r="R854" s="2" t="inlineStr"/>
    </row>
    <row r="855" ht="15" customHeight="1">
      <c r="A855" t="inlineStr">
        <is>
          <t>A 42497-2022</t>
        </is>
      </c>
      <c r="B855" s="1" t="n">
        <v>44831.56995370371</v>
      </c>
      <c r="C855" s="1" t="n">
        <v>45962</v>
      </c>
      <c r="D855" t="inlineStr">
        <is>
          <t>SKÅNE LÄN</t>
        </is>
      </c>
      <c r="E855" t="inlineStr">
        <is>
          <t>OSBY</t>
        </is>
      </c>
      <c r="G855" t="n">
        <v>1.8</v>
      </c>
      <c r="H855" t="n">
        <v>0</v>
      </c>
      <c r="I855" t="n">
        <v>0</v>
      </c>
      <c r="J855" t="n">
        <v>0</v>
      </c>
      <c r="K855" t="n">
        <v>0</v>
      </c>
      <c r="L855" t="n">
        <v>0</v>
      </c>
      <c r="M855" t="n">
        <v>0</v>
      </c>
      <c r="N855" t="n">
        <v>0</v>
      </c>
      <c r="O855" t="n">
        <v>0</v>
      </c>
      <c r="P855" t="n">
        <v>0</v>
      </c>
      <c r="Q855" t="n">
        <v>0</v>
      </c>
      <c r="R855" s="2" t="inlineStr"/>
    </row>
    <row r="856" ht="15" customHeight="1">
      <c r="A856" t="inlineStr">
        <is>
          <t>A 28853-2022</t>
        </is>
      </c>
      <c r="B856" s="1" t="n">
        <v>44749.48130787037</v>
      </c>
      <c r="C856" s="1" t="n">
        <v>45962</v>
      </c>
      <c r="D856" t="inlineStr">
        <is>
          <t>SKÅNE LÄN</t>
        </is>
      </c>
      <c r="E856" t="inlineStr">
        <is>
          <t>KRISTIANSTAD</t>
        </is>
      </c>
      <c r="G856" t="n">
        <v>0.8</v>
      </c>
      <c r="H856" t="n">
        <v>0</v>
      </c>
      <c r="I856" t="n">
        <v>0</v>
      </c>
      <c r="J856" t="n">
        <v>0</v>
      </c>
      <c r="K856" t="n">
        <v>0</v>
      </c>
      <c r="L856" t="n">
        <v>0</v>
      </c>
      <c r="M856" t="n">
        <v>0</v>
      </c>
      <c r="N856" t="n">
        <v>0</v>
      </c>
      <c r="O856" t="n">
        <v>0</v>
      </c>
      <c r="P856" t="n">
        <v>0</v>
      </c>
      <c r="Q856" t="n">
        <v>0</v>
      </c>
      <c r="R856" s="2" t="inlineStr"/>
    </row>
    <row r="857" ht="15" customHeight="1">
      <c r="A857" t="inlineStr">
        <is>
          <t>A 55572-2021</t>
        </is>
      </c>
      <c r="B857" s="1" t="n">
        <v>44475</v>
      </c>
      <c r="C857" s="1" t="n">
        <v>45962</v>
      </c>
      <c r="D857" t="inlineStr">
        <is>
          <t>SKÅNE LÄN</t>
        </is>
      </c>
      <c r="E857" t="inlineStr">
        <is>
          <t>OSBY</t>
        </is>
      </c>
      <c r="G857" t="n">
        <v>1.9</v>
      </c>
      <c r="H857" t="n">
        <v>0</v>
      </c>
      <c r="I857" t="n">
        <v>0</v>
      </c>
      <c r="J857" t="n">
        <v>0</v>
      </c>
      <c r="K857" t="n">
        <v>0</v>
      </c>
      <c r="L857" t="n">
        <v>0</v>
      </c>
      <c r="M857" t="n">
        <v>0</v>
      </c>
      <c r="N857" t="n">
        <v>0</v>
      </c>
      <c r="O857" t="n">
        <v>0</v>
      </c>
      <c r="P857" t="n">
        <v>0</v>
      </c>
      <c r="Q857" t="n">
        <v>0</v>
      </c>
      <c r="R857" s="2" t="inlineStr"/>
    </row>
    <row r="858" ht="15" customHeight="1">
      <c r="A858" t="inlineStr">
        <is>
          <t>A 42660-2021</t>
        </is>
      </c>
      <c r="B858" s="1" t="n">
        <v>44428</v>
      </c>
      <c r="C858" s="1" t="n">
        <v>45962</v>
      </c>
      <c r="D858" t="inlineStr">
        <is>
          <t>SKÅNE LÄN</t>
        </is>
      </c>
      <c r="E858" t="inlineStr">
        <is>
          <t>SJÖBO</t>
        </is>
      </c>
      <c r="G858" t="n">
        <v>0.9</v>
      </c>
      <c r="H858" t="n">
        <v>0</v>
      </c>
      <c r="I858" t="n">
        <v>0</v>
      </c>
      <c r="J858" t="n">
        <v>0</v>
      </c>
      <c r="K858" t="n">
        <v>0</v>
      </c>
      <c r="L858" t="n">
        <v>0</v>
      </c>
      <c r="M858" t="n">
        <v>0</v>
      </c>
      <c r="N858" t="n">
        <v>0</v>
      </c>
      <c r="O858" t="n">
        <v>0</v>
      </c>
      <c r="P858" t="n">
        <v>0</v>
      </c>
      <c r="Q858" t="n">
        <v>0</v>
      </c>
      <c r="R858" s="2" t="inlineStr"/>
    </row>
    <row r="859" ht="15" customHeight="1">
      <c r="A859" t="inlineStr">
        <is>
          <t>A 3445-2022</t>
        </is>
      </c>
      <c r="B859" s="1" t="n">
        <v>44585.56642361111</v>
      </c>
      <c r="C859" s="1" t="n">
        <v>45962</v>
      </c>
      <c r="D859" t="inlineStr">
        <is>
          <t>SKÅNE LÄN</t>
        </is>
      </c>
      <c r="E859" t="inlineStr">
        <is>
          <t>ÖSTRA GÖINGE</t>
        </is>
      </c>
      <c r="G859" t="n">
        <v>0.8</v>
      </c>
      <c r="H859" t="n">
        <v>0</v>
      </c>
      <c r="I859" t="n">
        <v>0</v>
      </c>
      <c r="J859" t="n">
        <v>0</v>
      </c>
      <c r="K859" t="n">
        <v>0</v>
      </c>
      <c r="L859" t="n">
        <v>0</v>
      </c>
      <c r="M859" t="n">
        <v>0</v>
      </c>
      <c r="N859" t="n">
        <v>0</v>
      </c>
      <c r="O859" t="n">
        <v>0</v>
      </c>
      <c r="P859" t="n">
        <v>0</v>
      </c>
      <c r="Q859" t="n">
        <v>0</v>
      </c>
      <c r="R859" s="2" t="inlineStr"/>
    </row>
    <row r="860" ht="15" customHeight="1">
      <c r="A860" t="inlineStr">
        <is>
          <t>A 2472-2022</t>
        </is>
      </c>
      <c r="B860" s="1" t="n">
        <v>44579</v>
      </c>
      <c r="C860" s="1" t="n">
        <v>45962</v>
      </c>
      <c r="D860" t="inlineStr">
        <is>
          <t>SKÅNE LÄN</t>
        </is>
      </c>
      <c r="E860" t="inlineStr">
        <is>
          <t>KRISTIANSTAD</t>
        </is>
      </c>
      <c r="G860" t="n">
        <v>0.7</v>
      </c>
      <c r="H860" t="n">
        <v>0</v>
      </c>
      <c r="I860" t="n">
        <v>0</v>
      </c>
      <c r="J860" t="n">
        <v>0</v>
      </c>
      <c r="K860" t="n">
        <v>0</v>
      </c>
      <c r="L860" t="n">
        <v>0</v>
      </c>
      <c r="M860" t="n">
        <v>0</v>
      </c>
      <c r="N860" t="n">
        <v>0</v>
      </c>
      <c r="O860" t="n">
        <v>0</v>
      </c>
      <c r="P860" t="n">
        <v>0</v>
      </c>
      <c r="Q860" t="n">
        <v>0</v>
      </c>
      <c r="R860" s="2" t="inlineStr"/>
    </row>
    <row r="861" ht="15" customHeight="1">
      <c r="A861" t="inlineStr">
        <is>
          <t>A 62734-2020</t>
        </is>
      </c>
      <c r="B861" s="1" t="n">
        <v>44161</v>
      </c>
      <c r="C861" s="1" t="n">
        <v>45962</v>
      </c>
      <c r="D861" t="inlineStr">
        <is>
          <t>SKÅNE LÄN</t>
        </is>
      </c>
      <c r="E861" t="inlineStr">
        <is>
          <t>BROMÖLLA</t>
        </is>
      </c>
      <c r="G861" t="n">
        <v>2.3</v>
      </c>
      <c r="H861" t="n">
        <v>0</v>
      </c>
      <c r="I861" t="n">
        <v>0</v>
      </c>
      <c r="J861" t="n">
        <v>0</v>
      </c>
      <c r="K861" t="n">
        <v>0</v>
      </c>
      <c r="L861" t="n">
        <v>0</v>
      </c>
      <c r="M861" t="n">
        <v>0</v>
      </c>
      <c r="N861" t="n">
        <v>0</v>
      </c>
      <c r="O861" t="n">
        <v>0</v>
      </c>
      <c r="P861" t="n">
        <v>0</v>
      </c>
      <c r="Q861" t="n">
        <v>0</v>
      </c>
      <c r="R861" s="2" t="inlineStr"/>
    </row>
    <row r="862" ht="15" customHeight="1">
      <c r="A862" t="inlineStr">
        <is>
          <t>A 15986-2022</t>
        </is>
      </c>
      <c r="B862" s="1" t="n">
        <v>44664</v>
      </c>
      <c r="C862" s="1" t="n">
        <v>45962</v>
      </c>
      <c r="D862" t="inlineStr">
        <is>
          <t>SKÅNE LÄN</t>
        </is>
      </c>
      <c r="E862" t="inlineStr">
        <is>
          <t>HÄSSLEHOLM</t>
        </is>
      </c>
      <c r="F862" t="inlineStr">
        <is>
          <t>Kyrkan</t>
        </is>
      </c>
      <c r="G862" t="n">
        <v>6</v>
      </c>
      <c r="H862" t="n">
        <v>0</v>
      </c>
      <c r="I862" t="n">
        <v>0</v>
      </c>
      <c r="J862" t="n">
        <v>0</v>
      </c>
      <c r="K862" t="n">
        <v>0</v>
      </c>
      <c r="L862" t="n">
        <v>0</v>
      </c>
      <c r="M862" t="n">
        <v>0</v>
      </c>
      <c r="N862" t="n">
        <v>0</v>
      </c>
      <c r="O862" t="n">
        <v>0</v>
      </c>
      <c r="P862" t="n">
        <v>0</v>
      </c>
      <c r="Q862" t="n">
        <v>0</v>
      </c>
      <c r="R862" s="2" t="inlineStr"/>
    </row>
    <row r="863" ht="15" customHeight="1">
      <c r="A863" t="inlineStr">
        <is>
          <t>A 3472-2021</t>
        </is>
      </c>
      <c r="B863" s="1" t="n">
        <v>44218</v>
      </c>
      <c r="C863" s="1" t="n">
        <v>45962</v>
      </c>
      <c r="D863" t="inlineStr">
        <is>
          <t>SKÅNE LÄN</t>
        </is>
      </c>
      <c r="E863" t="inlineStr">
        <is>
          <t>OSBY</t>
        </is>
      </c>
      <c r="F863" t="inlineStr">
        <is>
          <t>Naturvårdsverket</t>
        </is>
      </c>
      <c r="G863" t="n">
        <v>1.9</v>
      </c>
      <c r="H863" t="n">
        <v>0</v>
      </c>
      <c r="I863" t="n">
        <v>0</v>
      </c>
      <c r="J863" t="n">
        <v>0</v>
      </c>
      <c r="K863" t="n">
        <v>0</v>
      </c>
      <c r="L863" t="n">
        <v>0</v>
      </c>
      <c r="M863" t="n">
        <v>0</v>
      </c>
      <c r="N863" t="n">
        <v>0</v>
      </c>
      <c r="O863" t="n">
        <v>0</v>
      </c>
      <c r="P863" t="n">
        <v>0</v>
      </c>
      <c r="Q863" t="n">
        <v>0</v>
      </c>
      <c r="R863" s="2" t="inlineStr"/>
    </row>
    <row r="864" ht="15" customHeight="1">
      <c r="A864" t="inlineStr">
        <is>
          <t>A 52832-2021</t>
        </is>
      </c>
      <c r="B864" s="1" t="n">
        <v>44466</v>
      </c>
      <c r="C864" s="1" t="n">
        <v>45962</v>
      </c>
      <c r="D864" t="inlineStr">
        <is>
          <t>SKÅNE LÄN</t>
        </is>
      </c>
      <c r="E864" t="inlineStr">
        <is>
          <t>HÖRBY</t>
        </is>
      </c>
      <c r="G864" t="n">
        <v>1.2</v>
      </c>
      <c r="H864" t="n">
        <v>0</v>
      </c>
      <c r="I864" t="n">
        <v>0</v>
      </c>
      <c r="J864" t="n">
        <v>0</v>
      </c>
      <c r="K864" t="n">
        <v>0</v>
      </c>
      <c r="L864" t="n">
        <v>0</v>
      </c>
      <c r="M864" t="n">
        <v>0</v>
      </c>
      <c r="N864" t="n">
        <v>0</v>
      </c>
      <c r="O864" t="n">
        <v>0</v>
      </c>
      <c r="P864" t="n">
        <v>0</v>
      </c>
      <c r="Q864" t="n">
        <v>0</v>
      </c>
      <c r="R864" s="2" t="inlineStr"/>
    </row>
    <row r="865" ht="15" customHeight="1">
      <c r="A865" t="inlineStr">
        <is>
          <t>A 35300-2021</t>
        </is>
      </c>
      <c r="B865" s="1" t="n">
        <v>44384</v>
      </c>
      <c r="C865" s="1" t="n">
        <v>45962</v>
      </c>
      <c r="D865" t="inlineStr">
        <is>
          <t>SKÅNE LÄN</t>
        </is>
      </c>
      <c r="E865" t="inlineStr">
        <is>
          <t>KRISTIANSTAD</t>
        </is>
      </c>
      <c r="F865" t="inlineStr">
        <is>
          <t>Kyrkan</t>
        </is>
      </c>
      <c r="G865" t="n">
        <v>2.3</v>
      </c>
      <c r="H865" t="n">
        <v>0</v>
      </c>
      <c r="I865" t="n">
        <v>0</v>
      </c>
      <c r="J865" t="n">
        <v>0</v>
      </c>
      <c r="K865" t="n">
        <v>0</v>
      </c>
      <c r="L865" t="n">
        <v>0</v>
      </c>
      <c r="M865" t="n">
        <v>0</v>
      </c>
      <c r="N865" t="n">
        <v>0</v>
      </c>
      <c r="O865" t="n">
        <v>0</v>
      </c>
      <c r="P865" t="n">
        <v>0</v>
      </c>
      <c r="Q865" t="n">
        <v>0</v>
      </c>
      <c r="R865" s="2" t="inlineStr"/>
    </row>
    <row r="866" ht="15" customHeight="1">
      <c r="A866" t="inlineStr">
        <is>
          <t>A 38938-2022</t>
        </is>
      </c>
      <c r="B866" s="1" t="n">
        <v>44816.66179398148</v>
      </c>
      <c r="C866" s="1" t="n">
        <v>45962</v>
      </c>
      <c r="D866" t="inlineStr">
        <is>
          <t>SKÅNE LÄN</t>
        </is>
      </c>
      <c r="E866" t="inlineStr">
        <is>
          <t>KRISTIANSTAD</t>
        </is>
      </c>
      <c r="F866" t="inlineStr">
        <is>
          <t>Sveaskog</t>
        </is>
      </c>
      <c r="G866" t="n">
        <v>5.5</v>
      </c>
      <c r="H866" t="n">
        <v>0</v>
      </c>
      <c r="I866" t="n">
        <v>0</v>
      </c>
      <c r="J866" t="n">
        <v>0</v>
      </c>
      <c r="K866" t="n">
        <v>0</v>
      </c>
      <c r="L866" t="n">
        <v>0</v>
      </c>
      <c r="M866" t="n">
        <v>0</v>
      </c>
      <c r="N866" t="n">
        <v>0</v>
      </c>
      <c r="O866" t="n">
        <v>0</v>
      </c>
      <c r="P866" t="n">
        <v>0</v>
      </c>
      <c r="Q866" t="n">
        <v>0</v>
      </c>
      <c r="R866" s="2" t="inlineStr"/>
    </row>
    <row r="867" ht="15" customHeight="1">
      <c r="A867" t="inlineStr">
        <is>
          <t>A 59302-2020</t>
        </is>
      </c>
      <c r="B867" s="1" t="n">
        <v>44147</v>
      </c>
      <c r="C867" s="1" t="n">
        <v>45962</v>
      </c>
      <c r="D867" t="inlineStr">
        <is>
          <t>SKÅNE LÄN</t>
        </is>
      </c>
      <c r="E867" t="inlineStr">
        <is>
          <t>HÄSSLEHOLM</t>
        </is>
      </c>
      <c r="G867" t="n">
        <v>11.2</v>
      </c>
      <c r="H867" t="n">
        <v>0</v>
      </c>
      <c r="I867" t="n">
        <v>0</v>
      </c>
      <c r="J867" t="n">
        <v>0</v>
      </c>
      <c r="K867" t="n">
        <v>0</v>
      </c>
      <c r="L867" t="n">
        <v>0</v>
      </c>
      <c r="M867" t="n">
        <v>0</v>
      </c>
      <c r="N867" t="n">
        <v>0</v>
      </c>
      <c r="O867" t="n">
        <v>0</v>
      </c>
      <c r="P867" t="n">
        <v>0</v>
      </c>
      <c r="Q867" t="n">
        <v>0</v>
      </c>
      <c r="R867" s="2" t="inlineStr"/>
    </row>
    <row r="868" ht="15" customHeight="1">
      <c r="A868" t="inlineStr">
        <is>
          <t>A 51888-2021</t>
        </is>
      </c>
      <c r="B868" s="1" t="n">
        <v>44462</v>
      </c>
      <c r="C868" s="1" t="n">
        <v>45962</v>
      </c>
      <c r="D868" t="inlineStr">
        <is>
          <t>SKÅNE LÄN</t>
        </is>
      </c>
      <c r="E868" t="inlineStr">
        <is>
          <t>HÄSSLEHOLM</t>
        </is>
      </c>
      <c r="G868" t="n">
        <v>5.6</v>
      </c>
      <c r="H868" t="n">
        <v>0</v>
      </c>
      <c r="I868" t="n">
        <v>0</v>
      </c>
      <c r="J868" t="n">
        <v>0</v>
      </c>
      <c r="K868" t="n">
        <v>0</v>
      </c>
      <c r="L868" t="n">
        <v>0</v>
      </c>
      <c r="M868" t="n">
        <v>0</v>
      </c>
      <c r="N868" t="n">
        <v>0</v>
      </c>
      <c r="O868" t="n">
        <v>0</v>
      </c>
      <c r="P868" t="n">
        <v>0</v>
      </c>
      <c r="Q868" t="n">
        <v>0</v>
      </c>
      <c r="R868" s="2" t="inlineStr"/>
    </row>
    <row r="869" ht="15" customHeight="1">
      <c r="A869" t="inlineStr">
        <is>
          <t>A 52786-2021</t>
        </is>
      </c>
      <c r="B869" s="1" t="n">
        <v>44467.36061342592</v>
      </c>
      <c r="C869" s="1" t="n">
        <v>45962</v>
      </c>
      <c r="D869" t="inlineStr">
        <is>
          <t>SKÅNE LÄN</t>
        </is>
      </c>
      <c r="E869" t="inlineStr">
        <is>
          <t>HÄSSLEHOLM</t>
        </is>
      </c>
      <c r="G869" t="n">
        <v>0.9</v>
      </c>
      <c r="H869" t="n">
        <v>0</v>
      </c>
      <c r="I869" t="n">
        <v>0</v>
      </c>
      <c r="J869" t="n">
        <v>0</v>
      </c>
      <c r="K869" t="n">
        <v>0</v>
      </c>
      <c r="L869" t="n">
        <v>0</v>
      </c>
      <c r="M869" t="n">
        <v>0</v>
      </c>
      <c r="N869" t="n">
        <v>0</v>
      </c>
      <c r="O869" t="n">
        <v>0</v>
      </c>
      <c r="P869" t="n">
        <v>0</v>
      </c>
      <c r="Q869" t="n">
        <v>0</v>
      </c>
      <c r="R869" s="2" t="inlineStr"/>
    </row>
    <row r="870" ht="15" customHeight="1">
      <c r="A870" t="inlineStr">
        <is>
          <t>A 35133-2021</t>
        </is>
      </c>
      <c r="B870" s="1" t="n">
        <v>44384</v>
      </c>
      <c r="C870" s="1" t="n">
        <v>45962</v>
      </c>
      <c r="D870" t="inlineStr">
        <is>
          <t>SKÅNE LÄN</t>
        </is>
      </c>
      <c r="E870" t="inlineStr">
        <is>
          <t>TOMELILLA</t>
        </is>
      </c>
      <c r="F870" t="inlineStr">
        <is>
          <t>Övriga Aktiebolag</t>
        </is>
      </c>
      <c r="G870" t="n">
        <v>0.9</v>
      </c>
      <c r="H870" t="n">
        <v>0</v>
      </c>
      <c r="I870" t="n">
        <v>0</v>
      </c>
      <c r="J870" t="n">
        <v>0</v>
      </c>
      <c r="K870" t="n">
        <v>0</v>
      </c>
      <c r="L870" t="n">
        <v>0</v>
      </c>
      <c r="M870" t="n">
        <v>0</v>
      </c>
      <c r="N870" t="n">
        <v>0</v>
      </c>
      <c r="O870" t="n">
        <v>0</v>
      </c>
      <c r="P870" t="n">
        <v>0</v>
      </c>
      <c r="Q870" t="n">
        <v>0</v>
      </c>
      <c r="R870" s="2" t="inlineStr"/>
    </row>
    <row r="871" ht="15" customHeight="1">
      <c r="A871" t="inlineStr">
        <is>
          <t>A 37913-2021</t>
        </is>
      </c>
      <c r="B871" s="1" t="n">
        <v>44403</v>
      </c>
      <c r="C871" s="1" t="n">
        <v>45962</v>
      </c>
      <c r="D871" t="inlineStr">
        <is>
          <t>SKÅNE LÄN</t>
        </is>
      </c>
      <c r="E871" t="inlineStr">
        <is>
          <t>HÖÖR</t>
        </is>
      </c>
      <c r="G871" t="n">
        <v>2.1</v>
      </c>
      <c r="H871" t="n">
        <v>0</v>
      </c>
      <c r="I871" t="n">
        <v>0</v>
      </c>
      <c r="J871" t="n">
        <v>0</v>
      </c>
      <c r="K871" t="n">
        <v>0</v>
      </c>
      <c r="L871" t="n">
        <v>0</v>
      </c>
      <c r="M871" t="n">
        <v>0</v>
      </c>
      <c r="N871" t="n">
        <v>0</v>
      </c>
      <c r="O871" t="n">
        <v>0</v>
      </c>
      <c r="P871" t="n">
        <v>0</v>
      </c>
      <c r="Q871" t="n">
        <v>0</v>
      </c>
      <c r="R871" s="2" t="inlineStr"/>
    </row>
    <row r="872" ht="15" customHeight="1">
      <c r="A872" t="inlineStr">
        <is>
          <t>A 7231-2021</t>
        </is>
      </c>
      <c r="B872" s="1" t="n">
        <v>44237</v>
      </c>
      <c r="C872" s="1" t="n">
        <v>45962</v>
      </c>
      <c r="D872" t="inlineStr">
        <is>
          <t>SKÅNE LÄN</t>
        </is>
      </c>
      <c r="E872" t="inlineStr">
        <is>
          <t>KRISTIANSTAD</t>
        </is>
      </c>
      <c r="G872" t="n">
        <v>7.1</v>
      </c>
      <c r="H872" t="n">
        <v>0</v>
      </c>
      <c r="I872" t="n">
        <v>0</v>
      </c>
      <c r="J872" t="n">
        <v>0</v>
      </c>
      <c r="K872" t="n">
        <v>0</v>
      </c>
      <c r="L872" t="n">
        <v>0</v>
      </c>
      <c r="M872" t="n">
        <v>0</v>
      </c>
      <c r="N872" t="n">
        <v>0</v>
      </c>
      <c r="O872" t="n">
        <v>0</v>
      </c>
      <c r="P872" t="n">
        <v>0</v>
      </c>
      <c r="Q872" t="n">
        <v>0</v>
      </c>
      <c r="R872" s="2" t="inlineStr"/>
    </row>
    <row r="873" ht="15" customHeight="1">
      <c r="A873" t="inlineStr">
        <is>
          <t>A 66520-2020</t>
        </is>
      </c>
      <c r="B873" s="1" t="n">
        <v>44179</v>
      </c>
      <c r="C873" s="1" t="n">
        <v>45962</v>
      </c>
      <c r="D873" t="inlineStr">
        <is>
          <t>SKÅNE LÄN</t>
        </is>
      </c>
      <c r="E873" t="inlineStr">
        <is>
          <t>HÄSSLEHOLM</t>
        </is>
      </c>
      <c r="G873" t="n">
        <v>0.4</v>
      </c>
      <c r="H873" t="n">
        <v>0</v>
      </c>
      <c r="I873" t="n">
        <v>0</v>
      </c>
      <c r="J873" t="n">
        <v>0</v>
      </c>
      <c r="K873" t="n">
        <v>0</v>
      </c>
      <c r="L873" t="n">
        <v>0</v>
      </c>
      <c r="M873" t="n">
        <v>0</v>
      </c>
      <c r="N873" t="n">
        <v>0</v>
      </c>
      <c r="O873" t="n">
        <v>0</v>
      </c>
      <c r="P873" t="n">
        <v>0</v>
      </c>
      <c r="Q873" t="n">
        <v>0</v>
      </c>
      <c r="R873" s="2" t="inlineStr"/>
    </row>
    <row r="874" ht="15" customHeight="1">
      <c r="A874" t="inlineStr">
        <is>
          <t>A 30863-2022</t>
        </is>
      </c>
      <c r="B874" s="1" t="n">
        <v>44767.50349537037</v>
      </c>
      <c r="C874" s="1" t="n">
        <v>45962</v>
      </c>
      <c r="D874" t="inlineStr">
        <is>
          <t>SKÅNE LÄN</t>
        </is>
      </c>
      <c r="E874" t="inlineStr">
        <is>
          <t>KRISTIANSTAD</t>
        </is>
      </c>
      <c r="G874" t="n">
        <v>0.5</v>
      </c>
      <c r="H874" t="n">
        <v>0</v>
      </c>
      <c r="I874" t="n">
        <v>0</v>
      </c>
      <c r="J874" t="n">
        <v>0</v>
      </c>
      <c r="K874" t="n">
        <v>0</v>
      </c>
      <c r="L874" t="n">
        <v>0</v>
      </c>
      <c r="M874" t="n">
        <v>0</v>
      </c>
      <c r="N874" t="n">
        <v>0</v>
      </c>
      <c r="O874" t="n">
        <v>0</v>
      </c>
      <c r="P874" t="n">
        <v>0</v>
      </c>
      <c r="Q874" t="n">
        <v>0</v>
      </c>
      <c r="R874" s="2" t="inlineStr"/>
    </row>
    <row r="875" ht="15" customHeight="1">
      <c r="A875" t="inlineStr">
        <is>
          <t>A 33917-2021</t>
        </is>
      </c>
      <c r="B875" s="1" t="n">
        <v>44378</v>
      </c>
      <c r="C875" s="1" t="n">
        <v>45962</v>
      </c>
      <c r="D875" t="inlineStr">
        <is>
          <t>SKÅNE LÄN</t>
        </is>
      </c>
      <c r="E875" t="inlineStr">
        <is>
          <t>ÖSTRA GÖINGE</t>
        </is>
      </c>
      <c r="G875" t="n">
        <v>1.7</v>
      </c>
      <c r="H875" t="n">
        <v>0</v>
      </c>
      <c r="I875" t="n">
        <v>0</v>
      </c>
      <c r="J875" t="n">
        <v>0</v>
      </c>
      <c r="K875" t="n">
        <v>0</v>
      </c>
      <c r="L875" t="n">
        <v>0</v>
      </c>
      <c r="M875" t="n">
        <v>0</v>
      </c>
      <c r="N875" t="n">
        <v>0</v>
      </c>
      <c r="O875" t="n">
        <v>0</v>
      </c>
      <c r="P875" t="n">
        <v>0</v>
      </c>
      <c r="Q875" t="n">
        <v>0</v>
      </c>
      <c r="R875" s="2" t="inlineStr"/>
    </row>
    <row r="876" ht="15" customHeight="1">
      <c r="A876" t="inlineStr">
        <is>
          <t>A 45357-2022</t>
        </is>
      </c>
      <c r="B876" s="1" t="n">
        <v>44844.61952546296</v>
      </c>
      <c r="C876" s="1" t="n">
        <v>45962</v>
      </c>
      <c r="D876" t="inlineStr">
        <is>
          <t>SKÅNE LÄN</t>
        </is>
      </c>
      <c r="E876" t="inlineStr">
        <is>
          <t>HÄSSLEHOLM</t>
        </is>
      </c>
      <c r="G876" t="n">
        <v>5.8</v>
      </c>
      <c r="H876" t="n">
        <v>0</v>
      </c>
      <c r="I876" t="n">
        <v>0</v>
      </c>
      <c r="J876" t="n">
        <v>0</v>
      </c>
      <c r="K876" t="n">
        <v>0</v>
      </c>
      <c r="L876" t="n">
        <v>0</v>
      </c>
      <c r="M876" t="n">
        <v>0</v>
      </c>
      <c r="N876" t="n">
        <v>0</v>
      </c>
      <c r="O876" t="n">
        <v>0</v>
      </c>
      <c r="P876" t="n">
        <v>0</v>
      </c>
      <c r="Q876" t="n">
        <v>0</v>
      </c>
      <c r="R876" s="2" t="inlineStr"/>
    </row>
    <row r="877" ht="15" customHeight="1">
      <c r="A877" t="inlineStr">
        <is>
          <t>A 36899-2022</t>
        </is>
      </c>
      <c r="B877" s="1" t="n">
        <v>44805.71230324074</v>
      </c>
      <c r="C877" s="1" t="n">
        <v>45962</v>
      </c>
      <c r="D877" t="inlineStr">
        <is>
          <t>SKÅNE LÄN</t>
        </is>
      </c>
      <c r="E877" t="inlineStr">
        <is>
          <t>OSBY</t>
        </is>
      </c>
      <c r="G877" t="n">
        <v>6.2</v>
      </c>
      <c r="H877" t="n">
        <v>0</v>
      </c>
      <c r="I877" t="n">
        <v>0</v>
      </c>
      <c r="J877" t="n">
        <v>0</v>
      </c>
      <c r="K877" t="n">
        <v>0</v>
      </c>
      <c r="L877" t="n">
        <v>0</v>
      </c>
      <c r="M877" t="n">
        <v>0</v>
      </c>
      <c r="N877" t="n">
        <v>0</v>
      </c>
      <c r="O877" t="n">
        <v>0</v>
      </c>
      <c r="P877" t="n">
        <v>0</v>
      </c>
      <c r="Q877" t="n">
        <v>0</v>
      </c>
      <c r="R877" s="2" t="inlineStr"/>
    </row>
    <row r="878" ht="15" customHeight="1">
      <c r="A878" t="inlineStr">
        <is>
          <t>A 29143-2021</t>
        </is>
      </c>
      <c r="B878" s="1" t="n">
        <v>44358.6319212963</v>
      </c>
      <c r="C878" s="1" t="n">
        <v>45962</v>
      </c>
      <c r="D878" t="inlineStr">
        <is>
          <t>SKÅNE LÄN</t>
        </is>
      </c>
      <c r="E878" t="inlineStr">
        <is>
          <t>HÄSSLEHOLM</t>
        </is>
      </c>
      <c r="G878" t="n">
        <v>2.9</v>
      </c>
      <c r="H878" t="n">
        <v>0</v>
      </c>
      <c r="I878" t="n">
        <v>0</v>
      </c>
      <c r="J878" t="n">
        <v>0</v>
      </c>
      <c r="K878" t="n">
        <v>0</v>
      </c>
      <c r="L878" t="n">
        <v>0</v>
      </c>
      <c r="M878" t="n">
        <v>0</v>
      </c>
      <c r="N878" t="n">
        <v>0</v>
      </c>
      <c r="O878" t="n">
        <v>0</v>
      </c>
      <c r="P878" t="n">
        <v>0</v>
      </c>
      <c r="Q878" t="n">
        <v>0</v>
      </c>
      <c r="R878" s="2" t="inlineStr"/>
    </row>
    <row r="879" ht="15" customHeight="1">
      <c r="A879" t="inlineStr">
        <is>
          <t>A 17006-2021</t>
        </is>
      </c>
      <c r="B879" s="1" t="n">
        <v>44295</v>
      </c>
      <c r="C879" s="1" t="n">
        <v>45962</v>
      </c>
      <c r="D879" t="inlineStr">
        <is>
          <t>SKÅNE LÄN</t>
        </is>
      </c>
      <c r="E879" t="inlineStr">
        <is>
          <t>SVALÖV</t>
        </is>
      </c>
      <c r="G879" t="n">
        <v>8.699999999999999</v>
      </c>
      <c r="H879" t="n">
        <v>0</v>
      </c>
      <c r="I879" t="n">
        <v>0</v>
      </c>
      <c r="J879" t="n">
        <v>0</v>
      </c>
      <c r="K879" t="n">
        <v>0</v>
      </c>
      <c r="L879" t="n">
        <v>0</v>
      </c>
      <c r="M879" t="n">
        <v>0</v>
      </c>
      <c r="N879" t="n">
        <v>0</v>
      </c>
      <c r="O879" t="n">
        <v>0</v>
      </c>
      <c r="P879" t="n">
        <v>0</v>
      </c>
      <c r="Q879" t="n">
        <v>0</v>
      </c>
      <c r="R879" s="2" t="inlineStr"/>
    </row>
    <row r="880" ht="15" customHeight="1">
      <c r="A880" t="inlineStr">
        <is>
          <t>A 31645-2021</t>
        </is>
      </c>
      <c r="B880" s="1" t="n">
        <v>44369</v>
      </c>
      <c r="C880" s="1" t="n">
        <v>45962</v>
      </c>
      <c r="D880" t="inlineStr">
        <is>
          <t>SKÅNE LÄN</t>
        </is>
      </c>
      <c r="E880" t="inlineStr">
        <is>
          <t>PERSTORP</t>
        </is>
      </c>
      <c r="F880" t="inlineStr">
        <is>
          <t>Kyrkan</t>
        </is>
      </c>
      <c r="G880" t="n">
        <v>0.8</v>
      </c>
      <c r="H880" t="n">
        <v>0</v>
      </c>
      <c r="I880" t="n">
        <v>0</v>
      </c>
      <c r="J880" t="n">
        <v>0</v>
      </c>
      <c r="K880" t="n">
        <v>0</v>
      </c>
      <c r="L880" t="n">
        <v>0</v>
      </c>
      <c r="M880" t="n">
        <v>0</v>
      </c>
      <c r="N880" t="n">
        <v>0</v>
      </c>
      <c r="O880" t="n">
        <v>0</v>
      </c>
      <c r="P880" t="n">
        <v>0</v>
      </c>
      <c r="Q880" t="n">
        <v>0</v>
      </c>
      <c r="R880" s="2" t="inlineStr"/>
    </row>
    <row r="881" ht="15" customHeight="1">
      <c r="A881" t="inlineStr">
        <is>
          <t>A 47717-2022</t>
        </is>
      </c>
      <c r="B881" s="1" t="n">
        <v>44854.6058449074</v>
      </c>
      <c r="C881" s="1" t="n">
        <v>45962</v>
      </c>
      <c r="D881" t="inlineStr">
        <is>
          <t>SKÅNE LÄN</t>
        </is>
      </c>
      <c r="E881" t="inlineStr">
        <is>
          <t>SVALÖV</t>
        </is>
      </c>
      <c r="G881" t="n">
        <v>0.6</v>
      </c>
      <c r="H881" t="n">
        <v>0</v>
      </c>
      <c r="I881" t="n">
        <v>0</v>
      </c>
      <c r="J881" t="n">
        <v>0</v>
      </c>
      <c r="K881" t="n">
        <v>0</v>
      </c>
      <c r="L881" t="n">
        <v>0</v>
      </c>
      <c r="M881" t="n">
        <v>0</v>
      </c>
      <c r="N881" t="n">
        <v>0</v>
      </c>
      <c r="O881" t="n">
        <v>0</v>
      </c>
      <c r="P881" t="n">
        <v>0</v>
      </c>
      <c r="Q881" t="n">
        <v>0</v>
      </c>
      <c r="R881" s="2" t="inlineStr"/>
    </row>
    <row r="882" ht="15" customHeight="1">
      <c r="A882" t="inlineStr">
        <is>
          <t>A 46107-2021</t>
        </is>
      </c>
      <c r="B882" s="1" t="n">
        <v>44442.36733796296</v>
      </c>
      <c r="C882" s="1" t="n">
        <v>45962</v>
      </c>
      <c r="D882" t="inlineStr">
        <is>
          <t>SKÅNE LÄN</t>
        </is>
      </c>
      <c r="E882" t="inlineStr">
        <is>
          <t>HÖÖR</t>
        </is>
      </c>
      <c r="G882" t="n">
        <v>1.1</v>
      </c>
      <c r="H882" t="n">
        <v>0</v>
      </c>
      <c r="I882" t="n">
        <v>0</v>
      </c>
      <c r="J882" t="n">
        <v>0</v>
      </c>
      <c r="K882" t="n">
        <v>0</v>
      </c>
      <c r="L882" t="n">
        <v>0</v>
      </c>
      <c r="M882" t="n">
        <v>0</v>
      </c>
      <c r="N882" t="n">
        <v>0</v>
      </c>
      <c r="O882" t="n">
        <v>0</v>
      </c>
      <c r="P882" t="n">
        <v>0</v>
      </c>
      <c r="Q882" t="n">
        <v>0</v>
      </c>
      <c r="R882" s="2" t="inlineStr"/>
    </row>
    <row r="883" ht="15" customHeight="1">
      <c r="A883" t="inlineStr">
        <is>
          <t>A 66941-2020</t>
        </is>
      </c>
      <c r="B883" s="1" t="n">
        <v>44180</v>
      </c>
      <c r="C883" s="1" t="n">
        <v>45962</v>
      </c>
      <c r="D883" t="inlineStr">
        <is>
          <t>SKÅNE LÄN</t>
        </is>
      </c>
      <c r="E883" t="inlineStr">
        <is>
          <t>OSBY</t>
        </is>
      </c>
      <c r="G883" t="n">
        <v>0.2</v>
      </c>
      <c r="H883" t="n">
        <v>0</v>
      </c>
      <c r="I883" t="n">
        <v>0</v>
      </c>
      <c r="J883" t="n">
        <v>0</v>
      </c>
      <c r="K883" t="n">
        <v>0</v>
      </c>
      <c r="L883" t="n">
        <v>0</v>
      </c>
      <c r="M883" t="n">
        <v>0</v>
      </c>
      <c r="N883" t="n">
        <v>0</v>
      </c>
      <c r="O883" t="n">
        <v>0</v>
      </c>
      <c r="P883" t="n">
        <v>0</v>
      </c>
      <c r="Q883" t="n">
        <v>0</v>
      </c>
      <c r="R883" s="2" t="inlineStr"/>
    </row>
    <row r="884" ht="15" customHeight="1">
      <c r="A884" t="inlineStr">
        <is>
          <t>A 39772-2021</t>
        </is>
      </c>
      <c r="B884" s="1" t="n">
        <v>44416</v>
      </c>
      <c r="C884" s="1" t="n">
        <v>45962</v>
      </c>
      <c r="D884" t="inlineStr">
        <is>
          <t>SKÅNE LÄN</t>
        </is>
      </c>
      <c r="E884" t="inlineStr">
        <is>
          <t>ÖRKELLJUNGA</t>
        </is>
      </c>
      <c r="G884" t="n">
        <v>0.7</v>
      </c>
      <c r="H884" t="n">
        <v>0</v>
      </c>
      <c r="I884" t="n">
        <v>0</v>
      </c>
      <c r="J884" t="n">
        <v>0</v>
      </c>
      <c r="K884" t="n">
        <v>0</v>
      </c>
      <c r="L884" t="n">
        <v>0</v>
      </c>
      <c r="M884" t="n">
        <v>0</v>
      </c>
      <c r="N884" t="n">
        <v>0</v>
      </c>
      <c r="O884" t="n">
        <v>0</v>
      </c>
      <c r="P884" t="n">
        <v>0</v>
      </c>
      <c r="Q884" t="n">
        <v>0</v>
      </c>
      <c r="R884" s="2" t="inlineStr"/>
    </row>
    <row r="885" ht="15" customHeight="1">
      <c r="A885" t="inlineStr">
        <is>
          <t>A 771-2021</t>
        </is>
      </c>
      <c r="B885" s="1" t="n">
        <v>44203</v>
      </c>
      <c r="C885" s="1" t="n">
        <v>45962</v>
      </c>
      <c r="D885" t="inlineStr">
        <is>
          <t>SKÅNE LÄN</t>
        </is>
      </c>
      <c r="E885" t="inlineStr">
        <is>
          <t>SJÖBO</t>
        </is>
      </c>
      <c r="G885" t="n">
        <v>1</v>
      </c>
      <c r="H885" t="n">
        <v>0</v>
      </c>
      <c r="I885" t="n">
        <v>0</v>
      </c>
      <c r="J885" t="n">
        <v>0</v>
      </c>
      <c r="K885" t="n">
        <v>0</v>
      </c>
      <c r="L885" t="n">
        <v>0</v>
      </c>
      <c r="M885" t="n">
        <v>0</v>
      </c>
      <c r="N885" t="n">
        <v>0</v>
      </c>
      <c r="O885" t="n">
        <v>0</v>
      </c>
      <c r="P885" t="n">
        <v>0</v>
      </c>
      <c r="Q885" t="n">
        <v>0</v>
      </c>
      <c r="R885" s="2" t="inlineStr"/>
    </row>
    <row r="886" ht="15" customHeight="1">
      <c r="A886" t="inlineStr">
        <is>
          <t>A 27107-2022</t>
        </is>
      </c>
      <c r="B886" s="1" t="n">
        <v>44741</v>
      </c>
      <c r="C886" s="1" t="n">
        <v>45962</v>
      </c>
      <c r="D886" t="inlineStr">
        <is>
          <t>SKÅNE LÄN</t>
        </is>
      </c>
      <c r="E886" t="inlineStr">
        <is>
          <t>SVEDALA</t>
        </is>
      </c>
      <c r="G886" t="n">
        <v>10</v>
      </c>
      <c r="H886" t="n">
        <v>0</v>
      </c>
      <c r="I886" t="n">
        <v>0</v>
      </c>
      <c r="J886" t="n">
        <v>0</v>
      </c>
      <c r="K886" t="n">
        <v>0</v>
      </c>
      <c r="L886" t="n">
        <v>0</v>
      </c>
      <c r="M886" t="n">
        <v>0</v>
      </c>
      <c r="N886" t="n">
        <v>0</v>
      </c>
      <c r="O886" t="n">
        <v>0</v>
      </c>
      <c r="P886" t="n">
        <v>0</v>
      </c>
      <c r="Q886" t="n">
        <v>0</v>
      </c>
      <c r="R886" s="2" t="inlineStr"/>
    </row>
    <row r="887" ht="15" customHeight="1">
      <c r="A887" t="inlineStr">
        <is>
          <t>A 27112-2022</t>
        </is>
      </c>
      <c r="B887" s="1" t="n">
        <v>44741</v>
      </c>
      <c r="C887" s="1" t="n">
        <v>45962</v>
      </c>
      <c r="D887" t="inlineStr">
        <is>
          <t>SKÅNE LÄN</t>
        </is>
      </c>
      <c r="E887" t="inlineStr">
        <is>
          <t>SVEDALA</t>
        </is>
      </c>
      <c r="G887" t="n">
        <v>1.5</v>
      </c>
      <c r="H887" t="n">
        <v>0</v>
      </c>
      <c r="I887" t="n">
        <v>0</v>
      </c>
      <c r="J887" t="n">
        <v>0</v>
      </c>
      <c r="K887" t="n">
        <v>0</v>
      </c>
      <c r="L887" t="n">
        <v>0</v>
      </c>
      <c r="M887" t="n">
        <v>0</v>
      </c>
      <c r="N887" t="n">
        <v>0</v>
      </c>
      <c r="O887" t="n">
        <v>0</v>
      </c>
      <c r="P887" t="n">
        <v>0</v>
      </c>
      <c r="Q887" t="n">
        <v>0</v>
      </c>
      <c r="R887" s="2" t="inlineStr"/>
    </row>
    <row r="888" ht="15" customHeight="1">
      <c r="A888" t="inlineStr">
        <is>
          <t>A 25305-2022</t>
        </is>
      </c>
      <c r="B888" s="1" t="n">
        <v>44731.45185185185</v>
      </c>
      <c r="C888" s="1" t="n">
        <v>45962</v>
      </c>
      <c r="D888" t="inlineStr">
        <is>
          <t>SKÅNE LÄN</t>
        </is>
      </c>
      <c r="E888" t="inlineStr">
        <is>
          <t>OSBY</t>
        </is>
      </c>
      <c r="G888" t="n">
        <v>0.9</v>
      </c>
      <c r="H888" t="n">
        <v>0</v>
      </c>
      <c r="I888" t="n">
        <v>0</v>
      </c>
      <c r="J888" t="n">
        <v>0</v>
      </c>
      <c r="K888" t="n">
        <v>0</v>
      </c>
      <c r="L888" t="n">
        <v>0</v>
      </c>
      <c r="M888" t="n">
        <v>0</v>
      </c>
      <c r="N888" t="n">
        <v>0</v>
      </c>
      <c r="O888" t="n">
        <v>0</v>
      </c>
      <c r="P888" t="n">
        <v>0</v>
      </c>
      <c r="Q888" t="n">
        <v>0</v>
      </c>
      <c r="R888" s="2" t="inlineStr"/>
    </row>
    <row r="889" ht="15" customHeight="1">
      <c r="A889" t="inlineStr">
        <is>
          <t>A 45989-2021</t>
        </is>
      </c>
      <c r="B889" s="1" t="n">
        <v>44441.74627314815</v>
      </c>
      <c r="C889" s="1" t="n">
        <v>45962</v>
      </c>
      <c r="D889" t="inlineStr">
        <is>
          <t>SKÅNE LÄN</t>
        </is>
      </c>
      <c r="E889" t="inlineStr">
        <is>
          <t>HÄSSLEHOLM</t>
        </is>
      </c>
      <c r="G889" t="n">
        <v>1</v>
      </c>
      <c r="H889" t="n">
        <v>0</v>
      </c>
      <c r="I889" t="n">
        <v>0</v>
      </c>
      <c r="J889" t="n">
        <v>0</v>
      </c>
      <c r="K889" t="n">
        <v>0</v>
      </c>
      <c r="L889" t="n">
        <v>0</v>
      </c>
      <c r="M889" t="n">
        <v>0</v>
      </c>
      <c r="N889" t="n">
        <v>0</v>
      </c>
      <c r="O889" t="n">
        <v>0</v>
      </c>
      <c r="P889" t="n">
        <v>0</v>
      </c>
      <c r="Q889" t="n">
        <v>0</v>
      </c>
      <c r="R889" s="2" t="inlineStr"/>
    </row>
    <row r="890" ht="15" customHeight="1">
      <c r="A890" t="inlineStr">
        <is>
          <t>A 24712-2021</t>
        </is>
      </c>
      <c r="B890" s="1" t="n">
        <v>44340.5113425926</v>
      </c>
      <c r="C890" s="1" t="n">
        <v>45962</v>
      </c>
      <c r="D890" t="inlineStr">
        <is>
          <t>SKÅNE LÄN</t>
        </is>
      </c>
      <c r="E890" t="inlineStr">
        <is>
          <t>ÖRKELLJUNGA</t>
        </is>
      </c>
      <c r="G890" t="n">
        <v>1.5</v>
      </c>
      <c r="H890" t="n">
        <v>0</v>
      </c>
      <c r="I890" t="n">
        <v>0</v>
      </c>
      <c r="J890" t="n">
        <v>0</v>
      </c>
      <c r="K890" t="n">
        <v>0</v>
      </c>
      <c r="L890" t="n">
        <v>0</v>
      </c>
      <c r="M890" t="n">
        <v>0</v>
      </c>
      <c r="N890" t="n">
        <v>0</v>
      </c>
      <c r="O890" t="n">
        <v>0</v>
      </c>
      <c r="P890" t="n">
        <v>0</v>
      </c>
      <c r="Q890" t="n">
        <v>0</v>
      </c>
      <c r="R890" s="2" t="inlineStr"/>
    </row>
    <row r="891" ht="15" customHeight="1">
      <c r="A891" t="inlineStr">
        <is>
          <t>A 52729-2021</t>
        </is>
      </c>
      <c r="B891" s="1" t="n">
        <v>44467.29098379629</v>
      </c>
      <c r="C891" s="1" t="n">
        <v>45962</v>
      </c>
      <c r="D891" t="inlineStr">
        <is>
          <t>SKÅNE LÄN</t>
        </is>
      </c>
      <c r="E891" t="inlineStr">
        <is>
          <t>PERSTORP</t>
        </is>
      </c>
      <c r="G891" t="n">
        <v>0.1</v>
      </c>
      <c r="H891" t="n">
        <v>0</v>
      </c>
      <c r="I891" t="n">
        <v>0</v>
      </c>
      <c r="J891" t="n">
        <v>0</v>
      </c>
      <c r="K891" t="n">
        <v>0</v>
      </c>
      <c r="L891" t="n">
        <v>0</v>
      </c>
      <c r="M891" t="n">
        <v>0</v>
      </c>
      <c r="N891" t="n">
        <v>0</v>
      </c>
      <c r="O891" t="n">
        <v>0</v>
      </c>
      <c r="P891" t="n">
        <v>0</v>
      </c>
      <c r="Q891" t="n">
        <v>0</v>
      </c>
      <c r="R891" s="2" t="inlineStr"/>
    </row>
    <row r="892" ht="15" customHeight="1">
      <c r="A892" t="inlineStr">
        <is>
          <t>A 68082-2021</t>
        </is>
      </c>
      <c r="B892" s="1" t="n">
        <v>44526.32802083333</v>
      </c>
      <c r="C892" s="1" t="n">
        <v>45962</v>
      </c>
      <c r="D892" t="inlineStr">
        <is>
          <t>SKÅNE LÄN</t>
        </is>
      </c>
      <c r="E892" t="inlineStr">
        <is>
          <t>ÖRKELLJUNGA</t>
        </is>
      </c>
      <c r="G892" t="n">
        <v>19.7</v>
      </c>
      <c r="H892" t="n">
        <v>0</v>
      </c>
      <c r="I892" t="n">
        <v>0</v>
      </c>
      <c r="J892" t="n">
        <v>0</v>
      </c>
      <c r="K892" t="n">
        <v>0</v>
      </c>
      <c r="L892" t="n">
        <v>0</v>
      </c>
      <c r="M892" t="n">
        <v>0</v>
      </c>
      <c r="N892" t="n">
        <v>0</v>
      </c>
      <c r="O892" t="n">
        <v>0</v>
      </c>
      <c r="P892" t="n">
        <v>0</v>
      </c>
      <c r="Q892" t="n">
        <v>0</v>
      </c>
      <c r="R892" s="2" t="inlineStr"/>
    </row>
    <row r="893" ht="15" customHeight="1">
      <c r="A893" t="inlineStr">
        <is>
          <t>A 68005-2021</t>
        </is>
      </c>
      <c r="B893" s="1" t="n">
        <v>44525</v>
      </c>
      <c r="C893" s="1" t="n">
        <v>45962</v>
      </c>
      <c r="D893" t="inlineStr">
        <is>
          <t>SKÅNE LÄN</t>
        </is>
      </c>
      <c r="E893" t="inlineStr">
        <is>
          <t>LUND</t>
        </is>
      </c>
      <c r="G893" t="n">
        <v>0.5</v>
      </c>
      <c r="H893" t="n">
        <v>0</v>
      </c>
      <c r="I893" t="n">
        <v>0</v>
      </c>
      <c r="J893" t="n">
        <v>0</v>
      </c>
      <c r="K893" t="n">
        <v>0</v>
      </c>
      <c r="L893" t="n">
        <v>0</v>
      </c>
      <c r="M893" t="n">
        <v>0</v>
      </c>
      <c r="N893" t="n">
        <v>0</v>
      </c>
      <c r="O893" t="n">
        <v>0</v>
      </c>
      <c r="P893" t="n">
        <v>0</v>
      </c>
      <c r="Q893" t="n">
        <v>0</v>
      </c>
      <c r="R893" s="2" t="inlineStr"/>
    </row>
    <row r="894" ht="15" customHeight="1">
      <c r="A894" t="inlineStr">
        <is>
          <t>A 68007-2021</t>
        </is>
      </c>
      <c r="B894" s="1" t="n">
        <v>44525</v>
      </c>
      <c r="C894" s="1" t="n">
        <v>45962</v>
      </c>
      <c r="D894" t="inlineStr">
        <is>
          <t>SKÅNE LÄN</t>
        </is>
      </c>
      <c r="E894" t="inlineStr">
        <is>
          <t>SJÖBO</t>
        </is>
      </c>
      <c r="G894" t="n">
        <v>0.8</v>
      </c>
      <c r="H894" t="n">
        <v>0</v>
      </c>
      <c r="I894" t="n">
        <v>0</v>
      </c>
      <c r="J894" t="n">
        <v>0</v>
      </c>
      <c r="K894" t="n">
        <v>0</v>
      </c>
      <c r="L894" t="n">
        <v>0</v>
      </c>
      <c r="M894" t="n">
        <v>0</v>
      </c>
      <c r="N894" t="n">
        <v>0</v>
      </c>
      <c r="O894" t="n">
        <v>0</v>
      </c>
      <c r="P894" t="n">
        <v>0</v>
      </c>
      <c r="Q894" t="n">
        <v>0</v>
      </c>
      <c r="R894" s="2" t="inlineStr"/>
    </row>
    <row r="895" ht="15" customHeight="1">
      <c r="A895" t="inlineStr">
        <is>
          <t>A 7248-2021</t>
        </is>
      </c>
      <c r="B895" s="1" t="n">
        <v>44236</v>
      </c>
      <c r="C895" s="1" t="n">
        <v>45962</v>
      </c>
      <c r="D895" t="inlineStr">
        <is>
          <t>SKÅNE LÄN</t>
        </is>
      </c>
      <c r="E895" t="inlineStr">
        <is>
          <t>HÄSSLEHOLM</t>
        </is>
      </c>
      <c r="G895" t="n">
        <v>0.6</v>
      </c>
      <c r="H895" t="n">
        <v>0</v>
      </c>
      <c r="I895" t="n">
        <v>0</v>
      </c>
      <c r="J895" t="n">
        <v>0</v>
      </c>
      <c r="K895" t="n">
        <v>0</v>
      </c>
      <c r="L895" t="n">
        <v>0</v>
      </c>
      <c r="M895" t="n">
        <v>0</v>
      </c>
      <c r="N895" t="n">
        <v>0</v>
      </c>
      <c r="O895" t="n">
        <v>0</v>
      </c>
      <c r="P895" t="n">
        <v>0</v>
      </c>
      <c r="Q895" t="n">
        <v>0</v>
      </c>
      <c r="R895" s="2" t="inlineStr"/>
    </row>
    <row r="896" ht="15" customHeight="1">
      <c r="A896" t="inlineStr">
        <is>
          <t>A 44669-2022</t>
        </is>
      </c>
      <c r="B896" s="1" t="n">
        <v>44840</v>
      </c>
      <c r="C896" s="1" t="n">
        <v>45962</v>
      </c>
      <c r="D896" t="inlineStr">
        <is>
          <t>SKÅNE LÄN</t>
        </is>
      </c>
      <c r="E896" t="inlineStr">
        <is>
          <t>HÄSSLEHOLM</t>
        </is>
      </c>
      <c r="G896" t="n">
        <v>1.2</v>
      </c>
      <c r="H896" t="n">
        <v>0</v>
      </c>
      <c r="I896" t="n">
        <v>0</v>
      </c>
      <c r="J896" t="n">
        <v>0</v>
      </c>
      <c r="K896" t="n">
        <v>0</v>
      </c>
      <c r="L896" t="n">
        <v>0</v>
      </c>
      <c r="M896" t="n">
        <v>0</v>
      </c>
      <c r="N896" t="n">
        <v>0</v>
      </c>
      <c r="O896" t="n">
        <v>0</v>
      </c>
      <c r="P896" t="n">
        <v>0</v>
      </c>
      <c r="Q896" t="n">
        <v>0</v>
      </c>
      <c r="R896" s="2" t="inlineStr"/>
    </row>
    <row r="897" ht="15" customHeight="1">
      <c r="A897" t="inlineStr">
        <is>
          <t>A 26386-2022</t>
        </is>
      </c>
      <c r="B897" s="1" t="n">
        <v>44735.6803125</v>
      </c>
      <c r="C897" s="1" t="n">
        <v>45962</v>
      </c>
      <c r="D897" t="inlineStr">
        <is>
          <t>SKÅNE LÄN</t>
        </is>
      </c>
      <c r="E897" t="inlineStr">
        <is>
          <t>HÄSSLEHOLM</t>
        </is>
      </c>
      <c r="G897" t="n">
        <v>1.5</v>
      </c>
      <c r="H897" t="n">
        <v>0</v>
      </c>
      <c r="I897" t="n">
        <v>0</v>
      </c>
      <c r="J897" t="n">
        <v>0</v>
      </c>
      <c r="K897" t="n">
        <v>0</v>
      </c>
      <c r="L897" t="n">
        <v>0</v>
      </c>
      <c r="M897" t="n">
        <v>0</v>
      </c>
      <c r="N897" t="n">
        <v>0</v>
      </c>
      <c r="O897" t="n">
        <v>0</v>
      </c>
      <c r="P897" t="n">
        <v>0</v>
      </c>
      <c r="Q897" t="n">
        <v>0</v>
      </c>
      <c r="R897" s="2" t="inlineStr"/>
    </row>
    <row r="898" ht="15" customHeight="1">
      <c r="A898" t="inlineStr">
        <is>
          <t>A 8370-2022</t>
        </is>
      </c>
      <c r="B898" s="1" t="n">
        <v>44610</v>
      </c>
      <c r="C898" s="1" t="n">
        <v>45962</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35140-2021</t>
        </is>
      </c>
      <c r="B899" s="1" t="n">
        <v>44384</v>
      </c>
      <c r="C899" s="1" t="n">
        <v>45962</v>
      </c>
      <c r="D899" t="inlineStr">
        <is>
          <t>SKÅNE LÄN</t>
        </is>
      </c>
      <c r="E899" t="inlineStr">
        <is>
          <t>TOMELILLA</t>
        </is>
      </c>
      <c r="F899" t="inlineStr">
        <is>
          <t>Övriga Aktiebolag</t>
        </is>
      </c>
      <c r="G899" t="n">
        <v>2.4</v>
      </c>
      <c r="H899" t="n">
        <v>0</v>
      </c>
      <c r="I899" t="n">
        <v>0</v>
      </c>
      <c r="J899" t="n">
        <v>0</v>
      </c>
      <c r="K899" t="n">
        <v>0</v>
      </c>
      <c r="L899" t="n">
        <v>0</v>
      </c>
      <c r="M899" t="n">
        <v>0</v>
      </c>
      <c r="N899" t="n">
        <v>0</v>
      </c>
      <c r="O899" t="n">
        <v>0</v>
      </c>
      <c r="P899" t="n">
        <v>0</v>
      </c>
      <c r="Q899" t="n">
        <v>0</v>
      </c>
      <c r="R899" s="2" t="inlineStr"/>
    </row>
    <row r="900" ht="15" customHeight="1">
      <c r="A900" t="inlineStr">
        <is>
          <t>A 26501-2022</t>
        </is>
      </c>
      <c r="B900" s="1" t="n">
        <v>44739</v>
      </c>
      <c r="C900" s="1" t="n">
        <v>45962</v>
      </c>
      <c r="D900" t="inlineStr">
        <is>
          <t>SKÅNE LÄN</t>
        </is>
      </c>
      <c r="E900" t="inlineStr">
        <is>
          <t>PERSTORP</t>
        </is>
      </c>
      <c r="G900" t="n">
        <v>7</v>
      </c>
      <c r="H900" t="n">
        <v>0</v>
      </c>
      <c r="I900" t="n">
        <v>0</v>
      </c>
      <c r="J900" t="n">
        <v>0</v>
      </c>
      <c r="K900" t="n">
        <v>0</v>
      </c>
      <c r="L900" t="n">
        <v>0</v>
      </c>
      <c r="M900" t="n">
        <v>0</v>
      </c>
      <c r="N900" t="n">
        <v>0</v>
      </c>
      <c r="O900" t="n">
        <v>0</v>
      </c>
      <c r="P900" t="n">
        <v>0</v>
      </c>
      <c r="Q900" t="n">
        <v>0</v>
      </c>
      <c r="R900" s="2" t="inlineStr"/>
    </row>
    <row r="901" ht="15" customHeight="1">
      <c r="A901" t="inlineStr">
        <is>
          <t>A 42617-2022</t>
        </is>
      </c>
      <c r="B901" s="1" t="n">
        <v>44831.85881944445</v>
      </c>
      <c r="C901" s="1" t="n">
        <v>45962</v>
      </c>
      <c r="D901" t="inlineStr">
        <is>
          <t>SKÅNE LÄN</t>
        </is>
      </c>
      <c r="E901" t="inlineStr">
        <is>
          <t>SVALÖV</t>
        </is>
      </c>
      <c r="G901" t="n">
        <v>0.6</v>
      </c>
      <c r="H901" t="n">
        <v>0</v>
      </c>
      <c r="I901" t="n">
        <v>0</v>
      </c>
      <c r="J901" t="n">
        <v>0</v>
      </c>
      <c r="K901" t="n">
        <v>0</v>
      </c>
      <c r="L901" t="n">
        <v>0</v>
      </c>
      <c r="M901" t="n">
        <v>0</v>
      </c>
      <c r="N901" t="n">
        <v>0</v>
      </c>
      <c r="O901" t="n">
        <v>0</v>
      </c>
      <c r="P901" t="n">
        <v>0</v>
      </c>
      <c r="Q901" t="n">
        <v>0</v>
      </c>
      <c r="R901" s="2" t="inlineStr"/>
    </row>
    <row r="902" ht="15" customHeight="1">
      <c r="A902" t="inlineStr">
        <is>
          <t>A 13876-2021</t>
        </is>
      </c>
      <c r="B902" s="1" t="n">
        <v>44277.40048611111</v>
      </c>
      <c r="C902" s="1" t="n">
        <v>45962</v>
      </c>
      <c r="D902" t="inlineStr">
        <is>
          <t>SKÅNE LÄN</t>
        </is>
      </c>
      <c r="E902" t="inlineStr">
        <is>
          <t>ÄNGELHOLM</t>
        </is>
      </c>
      <c r="G902" t="n">
        <v>0.6</v>
      </c>
      <c r="H902" t="n">
        <v>0</v>
      </c>
      <c r="I902" t="n">
        <v>0</v>
      </c>
      <c r="J902" t="n">
        <v>0</v>
      </c>
      <c r="K902" t="n">
        <v>0</v>
      </c>
      <c r="L902" t="n">
        <v>0</v>
      </c>
      <c r="M902" t="n">
        <v>0</v>
      </c>
      <c r="N902" t="n">
        <v>0</v>
      </c>
      <c r="O902" t="n">
        <v>0</v>
      </c>
      <c r="P902" t="n">
        <v>0</v>
      </c>
      <c r="Q902" t="n">
        <v>0</v>
      </c>
      <c r="R902" s="2" t="inlineStr"/>
    </row>
    <row r="903" ht="15" customHeight="1">
      <c r="A903" t="inlineStr">
        <is>
          <t>A 9535-2021</t>
        </is>
      </c>
      <c r="B903" s="1" t="n">
        <v>44251</v>
      </c>
      <c r="C903" s="1" t="n">
        <v>45962</v>
      </c>
      <c r="D903" t="inlineStr">
        <is>
          <t>SKÅNE LÄN</t>
        </is>
      </c>
      <c r="E903" t="inlineStr">
        <is>
          <t>KLIPPAN</t>
        </is>
      </c>
      <c r="G903" t="n">
        <v>0.4</v>
      </c>
      <c r="H903" t="n">
        <v>0</v>
      </c>
      <c r="I903" t="n">
        <v>0</v>
      </c>
      <c r="J903" t="n">
        <v>0</v>
      </c>
      <c r="K903" t="n">
        <v>0</v>
      </c>
      <c r="L903" t="n">
        <v>0</v>
      </c>
      <c r="M903" t="n">
        <v>0</v>
      </c>
      <c r="N903" t="n">
        <v>0</v>
      </c>
      <c r="O903" t="n">
        <v>0</v>
      </c>
      <c r="P903" t="n">
        <v>0</v>
      </c>
      <c r="Q903" t="n">
        <v>0</v>
      </c>
      <c r="R903" s="2" t="inlineStr"/>
    </row>
    <row r="904" ht="15" customHeight="1">
      <c r="A904" t="inlineStr">
        <is>
          <t>A 74144-2021</t>
        </is>
      </c>
      <c r="B904" s="1" t="n">
        <v>44557.96420138889</v>
      </c>
      <c r="C904" s="1" t="n">
        <v>45962</v>
      </c>
      <c r="D904" t="inlineStr">
        <is>
          <t>SKÅNE LÄN</t>
        </is>
      </c>
      <c r="E904" t="inlineStr">
        <is>
          <t>ÖSTRA GÖINGE</t>
        </is>
      </c>
      <c r="G904" t="n">
        <v>0.6</v>
      </c>
      <c r="H904" t="n">
        <v>0</v>
      </c>
      <c r="I904" t="n">
        <v>0</v>
      </c>
      <c r="J904" t="n">
        <v>0</v>
      </c>
      <c r="K904" t="n">
        <v>0</v>
      </c>
      <c r="L904" t="n">
        <v>0</v>
      </c>
      <c r="M904" t="n">
        <v>0</v>
      </c>
      <c r="N904" t="n">
        <v>0</v>
      </c>
      <c r="O904" t="n">
        <v>0</v>
      </c>
      <c r="P904" t="n">
        <v>0</v>
      </c>
      <c r="Q904" t="n">
        <v>0</v>
      </c>
      <c r="R904" s="2" t="inlineStr"/>
    </row>
    <row r="905" ht="15" customHeight="1">
      <c r="A905" t="inlineStr">
        <is>
          <t>A 25469-2022</t>
        </is>
      </c>
      <c r="B905" s="1" t="n">
        <v>44732</v>
      </c>
      <c r="C905" s="1" t="n">
        <v>45962</v>
      </c>
      <c r="D905" t="inlineStr">
        <is>
          <t>SKÅNE LÄN</t>
        </is>
      </c>
      <c r="E905" t="inlineStr">
        <is>
          <t>HÄSSLEHOLM</t>
        </is>
      </c>
      <c r="G905" t="n">
        <v>4.2</v>
      </c>
      <c r="H905" t="n">
        <v>0</v>
      </c>
      <c r="I905" t="n">
        <v>0</v>
      </c>
      <c r="J905" t="n">
        <v>0</v>
      </c>
      <c r="K905" t="n">
        <v>0</v>
      </c>
      <c r="L905" t="n">
        <v>0</v>
      </c>
      <c r="M905" t="n">
        <v>0</v>
      </c>
      <c r="N905" t="n">
        <v>0</v>
      </c>
      <c r="O905" t="n">
        <v>0</v>
      </c>
      <c r="P905" t="n">
        <v>0</v>
      </c>
      <c r="Q905" t="n">
        <v>0</v>
      </c>
      <c r="R905" s="2" t="inlineStr"/>
    </row>
    <row r="906" ht="15" customHeight="1">
      <c r="A906" t="inlineStr">
        <is>
          <t>A 354-2022</t>
        </is>
      </c>
      <c r="B906" s="1" t="n">
        <v>44565.62510416667</v>
      </c>
      <c r="C906" s="1" t="n">
        <v>45962</v>
      </c>
      <c r="D906" t="inlineStr">
        <is>
          <t>SKÅNE LÄN</t>
        </is>
      </c>
      <c r="E906" t="inlineStr">
        <is>
          <t>HÄSSLEHOLM</t>
        </is>
      </c>
      <c r="G906" t="n">
        <v>2.4</v>
      </c>
      <c r="H906" t="n">
        <v>0</v>
      </c>
      <c r="I906" t="n">
        <v>0</v>
      </c>
      <c r="J906" t="n">
        <v>0</v>
      </c>
      <c r="K906" t="n">
        <v>0</v>
      </c>
      <c r="L906" t="n">
        <v>0</v>
      </c>
      <c r="M906" t="n">
        <v>0</v>
      </c>
      <c r="N906" t="n">
        <v>0</v>
      </c>
      <c r="O906" t="n">
        <v>0</v>
      </c>
      <c r="P906" t="n">
        <v>0</v>
      </c>
      <c r="Q906" t="n">
        <v>0</v>
      </c>
      <c r="R906" s="2" t="inlineStr"/>
    </row>
    <row r="907" ht="15" customHeight="1">
      <c r="A907" t="inlineStr">
        <is>
          <t>A 3373-2021</t>
        </is>
      </c>
      <c r="B907" s="1" t="n">
        <v>44218</v>
      </c>
      <c r="C907" s="1" t="n">
        <v>45962</v>
      </c>
      <c r="D907" t="inlineStr">
        <is>
          <t>SKÅNE LÄN</t>
        </is>
      </c>
      <c r="E907" t="inlineStr">
        <is>
          <t>SIMRISHAMN</t>
        </is>
      </c>
      <c r="G907" t="n">
        <v>0.9</v>
      </c>
      <c r="H907" t="n">
        <v>0</v>
      </c>
      <c r="I907" t="n">
        <v>0</v>
      </c>
      <c r="J907" t="n">
        <v>0</v>
      </c>
      <c r="K907" t="n">
        <v>0</v>
      </c>
      <c r="L907" t="n">
        <v>0</v>
      </c>
      <c r="M907" t="n">
        <v>0</v>
      </c>
      <c r="N907" t="n">
        <v>0</v>
      </c>
      <c r="O907" t="n">
        <v>0</v>
      </c>
      <c r="P907" t="n">
        <v>0</v>
      </c>
      <c r="Q907" t="n">
        <v>0</v>
      </c>
      <c r="R907" s="2" t="inlineStr"/>
    </row>
    <row r="908" ht="15" customHeight="1">
      <c r="A908" t="inlineStr">
        <is>
          <t>A 40524-2022</t>
        </is>
      </c>
      <c r="B908" s="1" t="n">
        <v>44823.62825231482</v>
      </c>
      <c r="C908" s="1" t="n">
        <v>45962</v>
      </c>
      <c r="D908" t="inlineStr">
        <is>
          <t>SKÅNE LÄN</t>
        </is>
      </c>
      <c r="E908" t="inlineStr">
        <is>
          <t>OSBY</t>
        </is>
      </c>
      <c r="G908" t="n">
        <v>0.2</v>
      </c>
      <c r="H908" t="n">
        <v>0</v>
      </c>
      <c r="I908" t="n">
        <v>0</v>
      </c>
      <c r="J908" t="n">
        <v>0</v>
      </c>
      <c r="K908" t="n">
        <v>0</v>
      </c>
      <c r="L908" t="n">
        <v>0</v>
      </c>
      <c r="M908" t="n">
        <v>0</v>
      </c>
      <c r="N908" t="n">
        <v>0</v>
      </c>
      <c r="O908" t="n">
        <v>0</v>
      </c>
      <c r="P908" t="n">
        <v>0</v>
      </c>
      <c r="Q908" t="n">
        <v>0</v>
      </c>
      <c r="R908" s="2" t="inlineStr"/>
    </row>
    <row r="909" ht="15" customHeight="1">
      <c r="A909" t="inlineStr">
        <is>
          <t>A 8695-2021</t>
        </is>
      </c>
      <c r="B909" s="1" t="n">
        <v>44246</v>
      </c>
      <c r="C909" s="1" t="n">
        <v>45962</v>
      </c>
      <c r="D909" t="inlineStr">
        <is>
          <t>SKÅNE LÄN</t>
        </is>
      </c>
      <c r="E909" t="inlineStr">
        <is>
          <t>HÄSSLEHOLM</t>
        </is>
      </c>
      <c r="G909" t="n">
        <v>1.4</v>
      </c>
      <c r="H909" t="n">
        <v>0</v>
      </c>
      <c r="I909" t="n">
        <v>0</v>
      </c>
      <c r="J909" t="n">
        <v>0</v>
      </c>
      <c r="K909" t="n">
        <v>0</v>
      </c>
      <c r="L909" t="n">
        <v>0</v>
      </c>
      <c r="M909" t="n">
        <v>0</v>
      </c>
      <c r="N909" t="n">
        <v>0</v>
      </c>
      <c r="O909" t="n">
        <v>0</v>
      </c>
      <c r="P909" t="n">
        <v>0</v>
      </c>
      <c r="Q909" t="n">
        <v>0</v>
      </c>
      <c r="R909" s="2" t="inlineStr"/>
    </row>
    <row r="910" ht="15" customHeight="1">
      <c r="A910" t="inlineStr">
        <is>
          <t>A 32892-2021</t>
        </is>
      </c>
      <c r="B910" s="1" t="n">
        <v>44375</v>
      </c>
      <c r="C910" s="1" t="n">
        <v>45962</v>
      </c>
      <c r="D910" t="inlineStr">
        <is>
          <t>SKÅNE LÄN</t>
        </is>
      </c>
      <c r="E910" t="inlineStr">
        <is>
          <t>HÄSSLEHOLM</t>
        </is>
      </c>
      <c r="G910" t="n">
        <v>2.9</v>
      </c>
      <c r="H910" t="n">
        <v>0</v>
      </c>
      <c r="I910" t="n">
        <v>0</v>
      </c>
      <c r="J910" t="n">
        <v>0</v>
      </c>
      <c r="K910" t="n">
        <v>0</v>
      </c>
      <c r="L910" t="n">
        <v>0</v>
      </c>
      <c r="M910" t="n">
        <v>0</v>
      </c>
      <c r="N910" t="n">
        <v>0</v>
      </c>
      <c r="O910" t="n">
        <v>0</v>
      </c>
      <c r="P910" t="n">
        <v>0</v>
      </c>
      <c r="Q910" t="n">
        <v>0</v>
      </c>
      <c r="R910" s="2" t="inlineStr"/>
    </row>
    <row r="911" ht="15" customHeight="1">
      <c r="A911" t="inlineStr">
        <is>
          <t>A 73513-2021</t>
        </is>
      </c>
      <c r="B911" s="1" t="n">
        <v>44551.69012731482</v>
      </c>
      <c r="C911" s="1" t="n">
        <v>45962</v>
      </c>
      <c r="D911" t="inlineStr">
        <is>
          <t>SKÅNE LÄN</t>
        </is>
      </c>
      <c r="E911" t="inlineStr">
        <is>
          <t>HÄSSLEHOLM</t>
        </is>
      </c>
      <c r="G911" t="n">
        <v>0.6</v>
      </c>
      <c r="H911" t="n">
        <v>0</v>
      </c>
      <c r="I911" t="n">
        <v>0</v>
      </c>
      <c r="J911" t="n">
        <v>0</v>
      </c>
      <c r="K911" t="n">
        <v>0</v>
      </c>
      <c r="L911" t="n">
        <v>0</v>
      </c>
      <c r="M911" t="n">
        <v>0</v>
      </c>
      <c r="N911" t="n">
        <v>0</v>
      </c>
      <c r="O911" t="n">
        <v>0</v>
      </c>
      <c r="P911" t="n">
        <v>0</v>
      </c>
      <c r="Q911" t="n">
        <v>0</v>
      </c>
      <c r="R911" s="2" t="inlineStr"/>
    </row>
    <row r="912" ht="15" customHeight="1">
      <c r="A912" t="inlineStr">
        <is>
          <t>A 74073-2021</t>
        </is>
      </c>
      <c r="B912" s="1" t="n">
        <v>44557.55960648148</v>
      </c>
      <c r="C912" s="1" t="n">
        <v>45962</v>
      </c>
      <c r="D912" t="inlineStr">
        <is>
          <t>SKÅNE LÄN</t>
        </is>
      </c>
      <c r="E912" t="inlineStr">
        <is>
          <t>OSBY</t>
        </is>
      </c>
      <c r="G912" t="n">
        <v>0.7</v>
      </c>
      <c r="H912" t="n">
        <v>0</v>
      </c>
      <c r="I912" t="n">
        <v>0</v>
      </c>
      <c r="J912" t="n">
        <v>0</v>
      </c>
      <c r="K912" t="n">
        <v>0</v>
      </c>
      <c r="L912" t="n">
        <v>0</v>
      </c>
      <c r="M912" t="n">
        <v>0</v>
      </c>
      <c r="N912" t="n">
        <v>0</v>
      </c>
      <c r="O912" t="n">
        <v>0</v>
      </c>
      <c r="P912" t="n">
        <v>0</v>
      </c>
      <c r="Q912" t="n">
        <v>0</v>
      </c>
      <c r="R912" s="2" t="inlineStr"/>
    </row>
    <row r="913" ht="15" customHeight="1">
      <c r="A913" t="inlineStr">
        <is>
          <t>A 56569-2021</t>
        </is>
      </c>
      <c r="B913" s="1" t="n">
        <v>44480</v>
      </c>
      <c r="C913" s="1" t="n">
        <v>45962</v>
      </c>
      <c r="D913" t="inlineStr">
        <is>
          <t>SKÅNE LÄN</t>
        </is>
      </c>
      <c r="E913" t="inlineStr">
        <is>
          <t>ÄNGELHOLM</t>
        </is>
      </c>
      <c r="G913" t="n">
        <v>2.4</v>
      </c>
      <c r="H913" t="n">
        <v>0</v>
      </c>
      <c r="I913" t="n">
        <v>0</v>
      </c>
      <c r="J913" t="n">
        <v>0</v>
      </c>
      <c r="K913" t="n">
        <v>0</v>
      </c>
      <c r="L913" t="n">
        <v>0</v>
      </c>
      <c r="M913" t="n">
        <v>0</v>
      </c>
      <c r="N913" t="n">
        <v>0</v>
      </c>
      <c r="O913" t="n">
        <v>0</v>
      </c>
      <c r="P913" t="n">
        <v>0</v>
      </c>
      <c r="Q913" t="n">
        <v>0</v>
      </c>
      <c r="R913" s="2" t="inlineStr"/>
    </row>
    <row r="914" ht="15" customHeight="1">
      <c r="A914" t="inlineStr">
        <is>
          <t>A 13811-2021</t>
        </is>
      </c>
      <c r="B914" s="1" t="n">
        <v>44276</v>
      </c>
      <c r="C914" s="1" t="n">
        <v>45962</v>
      </c>
      <c r="D914" t="inlineStr">
        <is>
          <t>SKÅNE LÄN</t>
        </is>
      </c>
      <c r="E914" t="inlineStr">
        <is>
          <t>HÄSSLEHOLM</t>
        </is>
      </c>
      <c r="G914" t="n">
        <v>8</v>
      </c>
      <c r="H914" t="n">
        <v>0</v>
      </c>
      <c r="I914" t="n">
        <v>0</v>
      </c>
      <c r="J914" t="n">
        <v>0</v>
      </c>
      <c r="K914" t="n">
        <v>0</v>
      </c>
      <c r="L914" t="n">
        <v>0</v>
      </c>
      <c r="M914" t="n">
        <v>0</v>
      </c>
      <c r="N914" t="n">
        <v>0</v>
      </c>
      <c r="O914" t="n">
        <v>0</v>
      </c>
      <c r="P914" t="n">
        <v>0</v>
      </c>
      <c r="Q914" t="n">
        <v>0</v>
      </c>
      <c r="R914" s="2" t="inlineStr"/>
    </row>
    <row r="915" ht="15" customHeight="1">
      <c r="A915" t="inlineStr">
        <is>
          <t>A 8680-2021</t>
        </is>
      </c>
      <c r="B915" s="1" t="n">
        <v>44245</v>
      </c>
      <c r="C915" s="1" t="n">
        <v>45962</v>
      </c>
      <c r="D915" t="inlineStr">
        <is>
          <t>SKÅNE LÄN</t>
        </is>
      </c>
      <c r="E915" t="inlineStr">
        <is>
          <t>KLIPPAN</t>
        </is>
      </c>
      <c r="F915" t="inlineStr">
        <is>
          <t>Övriga Aktiebolag</t>
        </is>
      </c>
      <c r="G915" t="n">
        <v>2.7</v>
      </c>
      <c r="H915" t="n">
        <v>0</v>
      </c>
      <c r="I915" t="n">
        <v>0</v>
      </c>
      <c r="J915" t="n">
        <v>0</v>
      </c>
      <c r="K915" t="n">
        <v>0</v>
      </c>
      <c r="L915" t="n">
        <v>0</v>
      </c>
      <c r="M915" t="n">
        <v>0</v>
      </c>
      <c r="N915" t="n">
        <v>0</v>
      </c>
      <c r="O915" t="n">
        <v>0</v>
      </c>
      <c r="P915" t="n">
        <v>0</v>
      </c>
      <c r="Q915" t="n">
        <v>0</v>
      </c>
      <c r="R915" s="2" t="inlineStr"/>
    </row>
    <row r="916" ht="15" customHeight="1">
      <c r="A916" t="inlineStr">
        <is>
          <t>A 69198-2020</t>
        </is>
      </c>
      <c r="B916" s="1" t="n">
        <v>44191</v>
      </c>
      <c r="C916" s="1" t="n">
        <v>45962</v>
      </c>
      <c r="D916" t="inlineStr">
        <is>
          <t>SKÅNE LÄN</t>
        </is>
      </c>
      <c r="E916" t="inlineStr">
        <is>
          <t>HÄSSLEHOLM</t>
        </is>
      </c>
      <c r="G916" t="n">
        <v>6.6</v>
      </c>
      <c r="H916" t="n">
        <v>0</v>
      </c>
      <c r="I916" t="n">
        <v>0</v>
      </c>
      <c r="J916" t="n">
        <v>0</v>
      </c>
      <c r="K916" t="n">
        <v>0</v>
      </c>
      <c r="L916" t="n">
        <v>0</v>
      </c>
      <c r="M916" t="n">
        <v>0</v>
      </c>
      <c r="N916" t="n">
        <v>0</v>
      </c>
      <c r="O916" t="n">
        <v>0</v>
      </c>
      <c r="P916" t="n">
        <v>0</v>
      </c>
      <c r="Q916" t="n">
        <v>0</v>
      </c>
      <c r="R916" s="2" t="inlineStr"/>
    </row>
    <row r="917" ht="15" customHeight="1">
      <c r="A917" t="inlineStr">
        <is>
          <t>A 1428-2021</t>
        </is>
      </c>
      <c r="B917" s="1" t="n">
        <v>44208</v>
      </c>
      <c r="C917" s="1" t="n">
        <v>45962</v>
      </c>
      <c r="D917" t="inlineStr">
        <is>
          <t>SKÅNE LÄN</t>
        </is>
      </c>
      <c r="E917" t="inlineStr">
        <is>
          <t>TOMELILLA</t>
        </is>
      </c>
      <c r="G917" t="n">
        <v>1.2</v>
      </c>
      <c r="H917" t="n">
        <v>0</v>
      </c>
      <c r="I917" t="n">
        <v>0</v>
      </c>
      <c r="J917" t="n">
        <v>0</v>
      </c>
      <c r="K917" t="n">
        <v>0</v>
      </c>
      <c r="L917" t="n">
        <v>0</v>
      </c>
      <c r="M917" t="n">
        <v>0</v>
      </c>
      <c r="N917" t="n">
        <v>0</v>
      </c>
      <c r="O917" t="n">
        <v>0</v>
      </c>
      <c r="P917" t="n">
        <v>0</v>
      </c>
      <c r="Q917" t="n">
        <v>0</v>
      </c>
      <c r="R917" s="2" t="inlineStr"/>
    </row>
    <row r="918" ht="15" customHeight="1">
      <c r="A918" t="inlineStr">
        <is>
          <t>A 1461-2021</t>
        </is>
      </c>
      <c r="B918" s="1" t="n">
        <v>44208</v>
      </c>
      <c r="C918" s="1" t="n">
        <v>45962</v>
      </c>
      <c r="D918" t="inlineStr">
        <is>
          <t>SKÅNE LÄN</t>
        </is>
      </c>
      <c r="E918" t="inlineStr">
        <is>
          <t>HÄSSLEHOLM</t>
        </is>
      </c>
      <c r="G918" t="n">
        <v>0.8</v>
      </c>
      <c r="H918" t="n">
        <v>0</v>
      </c>
      <c r="I918" t="n">
        <v>0</v>
      </c>
      <c r="J918" t="n">
        <v>0</v>
      </c>
      <c r="K918" t="n">
        <v>0</v>
      </c>
      <c r="L918" t="n">
        <v>0</v>
      </c>
      <c r="M918" t="n">
        <v>0</v>
      </c>
      <c r="N918" t="n">
        <v>0</v>
      </c>
      <c r="O918" t="n">
        <v>0</v>
      </c>
      <c r="P918" t="n">
        <v>0</v>
      </c>
      <c r="Q918" t="n">
        <v>0</v>
      </c>
      <c r="R918" s="2" t="inlineStr"/>
    </row>
    <row r="919" ht="15" customHeight="1">
      <c r="A919" t="inlineStr">
        <is>
          <t>A 65203-2021</t>
        </is>
      </c>
      <c r="B919" s="1" t="n">
        <v>44515</v>
      </c>
      <c r="C919" s="1" t="n">
        <v>45962</v>
      </c>
      <c r="D919" t="inlineStr">
        <is>
          <t>SKÅNE LÄN</t>
        </is>
      </c>
      <c r="E919" t="inlineStr">
        <is>
          <t>HÖÖR</t>
        </is>
      </c>
      <c r="G919" t="n">
        <v>0.8</v>
      </c>
      <c r="H919" t="n">
        <v>0</v>
      </c>
      <c r="I919" t="n">
        <v>0</v>
      </c>
      <c r="J919" t="n">
        <v>0</v>
      </c>
      <c r="K919" t="n">
        <v>0</v>
      </c>
      <c r="L919" t="n">
        <v>0</v>
      </c>
      <c r="M919" t="n">
        <v>0</v>
      </c>
      <c r="N919" t="n">
        <v>0</v>
      </c>
      <c r="O919" t="n">
        <v>0</v>
      </c>
      <c r="P919" t="n">
        <v>0</v>
      </c>
      <c r="Q919" t="n">
        <v>0</v>
      </c>
      <c r="R919" s="2" t="inlineStr"/>
    </row>
    <row r="920" ht="15" customHeight="1">
      <c r="A920" t="inlineStr">
        <is>
          <t>A 44628-2021</t>
        </is>
      </c>
      <c r="B920" s="1" t="n">
        <v>44437.28954861111</v>
      </c>
      <c r="C920" s="1" t="n">
        <v>45962</v>
      </c>
      <c r="D920" t="inlineStr">
        <is>
          <t>SKÅNE LÄN</t>
        </is>
      </c>
      <c r="E920" t="inlineStr">
        <is>
          <t>OSBY</t>
        </is>
      </c>
      <c r="G920" t="n">
        <v>1.2</v>
      </c>
      <c r="H920" t="n">
        <v>0</v>
      </c>
      <c r="I920" t="n">
        <v>0</v>
      </c>
      <c r="J920" t="n">
        <v>0</v>
      </c>
      <c r="K920" t="n">
        <v>0</v>
      </c>
      <c r="L920" t="n">
        <v>0</v>
      </c>
      <c r="M920" t="n">
        <v>0</v>
      </c>
      <c r="N920" t="n">
        <v>0</v>
      </c>
      <c r="O920" t="n">
        <v>0</v>
      </c>
      <c r="P920" t="n">
        <v>0</v>
      </c>
      <c r="Q920" t="n">
        <v>0</v>
      </c>
      <c r="R920" s="2" t="inlineStr"/>
    </row>
    <row r="921" ht="15" customHeight="1">
      <c r="A921" t="inlineStr">
        <is>
          <t>A 74135-2021</t>
        </is>
      </c>
      <c r="B921" s="1" t="n">
        <v>44557.92930555555</v>
      </c>
      <c r="C921" s="1" t="n">
        <v>45962</v>
      </c>
      <c r="D921" t="inlineStr">
        <is>
          <t>SKÅNE LÄN</t>
        </is>
      </c>
      <c r="E921" t="inlineStr">
        <is>
          <t>ÖSTRA GÖINGE</t>
        </is>
      </c>
      <c r="G921" t="n">
        <v>0.8</v>
      </c>
      <c r="H921" t="n">
        <v>0</v>
      </c>
      <c r="I921" t="n">
        <v>0</v>
      </c>
      <c r="J921" t="n">
        <v>0</v>
      </c>
      <c r="K921" t="n">
        <v>0</v>
      </c>
      <c r="L921" t="n">
        <v>0</v>
      </c>
      <c r="M921" t="n">
        <v>0</v>
      </c>
      <c r="N921" t="n">
        <v>0</v>
      </c>
      <c r="O921" t="n">
        <v>0</v>
      </c>
      <c r="P921" t="n">
        <v>0</v>
      </c>
      <c r="Q921" t="n">
        <v>0</v>
      </c>
      <c r="R921" s="2" t="inlineStr"/>
    </row>
    <row r="922" ht="15" customHeight="1">
      <c r="A922" t="inlineStr">
        <is>
          <t>A 74141-2021</t>
        </is>
      </c>
      <c r="B922" s="1" t="n">
        <v>44557.95087962963</v>
      </c>
      <c r="C922" s="1" t="n">
        <v>45962</v>
      </c>
      <c r="D922" t="inlineStr">
        <is>
          <t>SKÅNE LÄN</t>
        </is>
      </c>
      <c r="E922" t="inlineStr">
        <is>
          <t>ÖSTRA GÖINGE</t>
        </is>
      </c>
      <c r="G922" t="n">
        <v>0.4</v>
      </c>
      <c r="H922" t="n">
        <v>0</v>
      </c>
      <c r="I922" t="n">
        <v>0</v>
      </c>
      <c r="J922" t="n">
        <v>0</v>
      </c>
      <c r="K922" t="n">
        <v>0</v>
      </c>
      <c r="L922" t="n">
        <v>0</v>
      </c>
      <c r="M922" t="n">
        <v>0</v>
      </c>
      <c r="N922" t="n">
        <v>0</v>
      </c>
      <c r="O922" t="n">
        <v>0</v>
      </c>
      <c r="P922" t="n">
        <v>0</v>
      </c>
      <c r="Q922" t="n">
        <v>0</v>
      </c>
      <c r="R922" s="2" t="inlineStr"/>
    </row>
    <row r="923" ht="15" customHeight="1">
      <c r="A923" t="inlineStr">
        <is>
          <t>A 33571-2022</t>
        </is>
      </c>
      <c r="B923" s="1" t="n">
        <v>44789</v>
      </c>
      <c r="C923" s="1" t="n">
        <v>45962</v>
      </c>
      <c r="D923" t="inlineStr">
        <is>
          <t>SKÅNE LÄN</t>
        </is>
      </c>
      <c r="E923" t="inlineStr">
        <is>
          <t>HÖRBY</t>
        </is>
      </c>
      <c r="G923" t="n">
        <v>0.5</v>
      </c>
      <c r="H923" t="n">
        <v>0</v>
      </c>
      <c r="I923" t="n">
        <v>0</v>
      </c>
      <c r="J923" t="n">
        <v>0</v>
      </c>
      <c r="K923" t="n">
        <v>0</v>
      </c>
      <c r="L923" t="n">
        <v>0</v>
      </c>
      <c r="M923" t="n">
        <v>0</v>
      </c>
      <c r="N923" t="n">
        <v>0</v>
      </c>
      <c r="O923" t="n">
        <v>0</v>
      </c>
      <c r="P923" t="n">
        <v>0</v>
      </c>
      <c r="Q923" t="n">
        <v>0</v>
      </c>
      <c r="R923" s="2" t="inlineStr"/>
    </row>
    <row r="924" ht="15" customHeight="1">
      <c r="A924" t="inlineStr">
        <is>
          <t>A 48173-2021</t>
        </is>
      </c>
      <c r="B924" s="1" t="n">
        <v>44449</v>
      </c>
      <c r="C924" s="1" t="n">
        <v>45962</v>
      </c>
      <c r="D924" t="inlineStr">
        <is>
          <t>SKÅNE LÄN</t>
        </is>
      </c>
      <c r="E924" t="inlineStr">
        <is>
          <t>KRISTIANSTAD</t>
        </is>
      </c>
      <c r="G924" t="n">
        <v>2.9</v>
      </c>
      <c r="H924" t="n">
        <v>0</v>
      </c>
      <c r="I924" t="n">
        <v>0</v>
      </c>
      <c r="J924" t="n">
        <v>0</v>
      </c>
      <c r="K924" t="n">
        <v>0</v>
      </c>
      <c r="L924" t="n">
        <v>0</v>
      </c>
      <c r="M924" t="n">
        <v>0</v>
      </c>
      <c r="N924" t="n">
        <v>0</v>
      </c>
      <c r="O924" t="n">
        <v>0</v>
      </c>
      <c r="P924" t="n">
        <v>0</v>
      </c>
      <c r="Q924" t="n">
        <v>0</v>
      </c>
      <c r="R924" s="2" t="inlineStr"/>
    </row>
    <row r="925" ht="15" customHeight="1">
      <c r="A925" t="inlineStr">
        <is>
          <t>A 43855-2021</t>
        </is>
      </c>
      <c r="B925" s="1" t="n">
        <v>44434</v>
      </c>
      <c r="C925" s="1" t="n">
        <v>45962</v>
      </c>
      <c r="D925" t="inlineStr">
        <is>
          <t>SKÅNE LÄN</t>
        </is>
      </c>
      <c r="E925" t="inlineStr">
        <is>
          <t>OSBY</t>
        </is>
      </c>
      <c r="G925" t="n">
        <v>0.5</v>
      </c>
      <c r="H925" t="n">
        <v>0</v>
      </c>
      <c r="I925" t="n">
        <v>0</v>
      </c>
      <c r="J925" t="n">
        <v>0</v>
      </c>
      <c r="K925" t="n">
        <v>0</v>
      </c>
      <c r="L925" t="n">
        <v>0</v>
      </c>
      <c r="M925" t="n">
        <v>0</v>
      </c>
      <c r="N925" t="n">
        <v>0</v>
      </c>
      <c r="O925" t="n">
        <v>0</v>
      </c>
      <c r="P925" t="n">
        <v>0</v>
      </c>
      <c r="Q925" t="n">
        <v>0</v>
      </c>
      <c r="R925" s="2" t="inlineStr"/>
    </row>
    <row r="926" ht="15" customHeight="1">
      <c r="A926" t="inlineStr">
        <is>
          <t>A 57956-2020</t>
        </is>
      </c>
      <c r="B926" s="1" t="n">
        <v>44143</v>
      </c>
      <c r="C926" s="1" t="n">
        <v>45962</v>
      </c>
      <c r="D926" t="inlineStr">
        <is>
          <t>SKÅNE LÄN</t>
        </is>
      </c>
      <c r="E926" t="inlineStr">
        <is>
          <t>OSBY</t>
        </is>
      </c>
      <c r="G926" t="n">
        <v>2.6</v>
      </c>
      <c r="H926" t="n">
        <v>0</v>
      </c>
      <c r="I926" t="n">
        <v>0</v>
      </c>
      <c r="J926" t="n">
        <v>0</v>
      </c>
      <c r="K926" t="n">
        <v>0</v>
      </c>
      <c r="L926" t="n">
        <v>0</v>
      </c>
      <c r="M926" t="n">
        <v>0</v>
      </c>
      <c r="N926" t="n">
        <v>0</v>
      </c>
      <c r="O926" t="n">
        <v>0</v>
      </c>
      <c r="P926" t="n">
        <v>0</v>
      </c>
      <c r="Q926" t="n">
        <v>0</v>
      </c>
      <c r="R926" s="2" t="inlineStr"/>
    </row>
    <row r="927" ht="15" customHeight="1">
      <c r="A927" t="inlineStr">
        <is>
          <t>A 52855-2021</t>
        </is>
      </c>
      <c r="B927" s="1" t="n">
        <v>44467.4494675926</v>
      </c>
      <c r="C927" s="1" t="n">
        <v>45962</v>
      </c>
      <c r="D927" t="inlineStr">
        <is>
          <t>SKÅNE LÄN</t>
        </is>
      </c>
      <c r="E927" t="inlineStr">
        <is>
          <t>ÖSTRA GÖINGE</t>
        </is>
      </c>
      <c r="G927" t="n">
        <v>5</v>
      </c>
      <c r="H927" t="n">
        <v>0</v>
      </c>
      <c r="I927" t="n">
        <v>0</v>
      </c>
      <c r="J927" t="n">
        <v>0</v>
      </c>
      <c r="K927" t="n">
        <v>0</v>
      </c>
      <c r="L927" t="n">
        <v>0</v>
      </c>
      <c r="M927" t="n">
        <v>0</v>
      </c>
      <c r="N927" t="n">
        <v>0</v>
      </c>
      <c r="O927" t="n">
        <v>0</v>
      </c>
      <c r="P927" t="n">
        <v>0</v>
      </c>
      <c r="Q927" t="n">
        <v>0</v>
      </c>
      <c r="R927" s="2" t="inlineStr"/>
    </row>
    <row r="928" ht="15" customHeight="1">
      <c r="A928" t="inlineStr">
        <is>
          <t>A 39102-2022</t>
        </is>
      </c>
      <c r="B928" s="1" t="n">
        <v>44817.43260416666</v>
      </c>
      <c r="C928" s="1" t="n">
        <v>45962</v>
      </c>
      <c r="D928" t="inlineStr">
        <is>
          <t>SKÅNE LÄN</t>
        </is>
      </c>
      <c r="E928" t="inlineStr">
        <is>
          <t>HÄSSLEHOLM</t>
        </is>
      </c>
      <c r="G928" t="n">
        <v>0.5</v>
      </c>
      <c r="H928" t="n">
        <v>0</v>
      </c>
      <c r="I928" t="n">
        <v>0</v>
      </c>
      <c r="J928" t="n">
        <v>0</v>
      </c>
      <c r="K928" t="n">
        <v>0</v>
      </c>
      <c r="L928" t="n">
        <v>0</v>
      </c>
      <c r="M928" t="n">
        <v>0</v>
      </c>
      <c r="N928" t="n">
        <v>0</v>
      </c>
      <c r="O928" t="n">
        <v>0</v>
      </c>
      <c r="P928" t="n">
        <v>0</v>
      </c>
      <c r="Q928" t="n">
        <v>0</v>
      </c>
      <c r="R928" s="2" t="inlineStr"/>
    </row>
    <row r="929" ht="15" customHeight="1">
      <c r="A929" t="inlineStr">
        <is>
          <t>A 32455-2022</t>
        </is>
      </c>
      <c r="B929" s="1" t="n">
        <v>44782.541875</v>
      </c>
      <c r="C929" s="1" t="n">
        <v>45962</v>
      </c>
      <c r="D929" t="inlineStr">
        <is>
          <t>SKÅNE LÄN</t>
        </is>
      </c>
      <c r="E929" t="inlineStr">
        <is>
          <t>KLIPPAN</t>
        </is>
      </c>
      <c r="G929" t="n">
        <v>0.6</v>
      </c>
      <c r="H929" t="n">
        <v>0</v>
      </c>
      <c r="I929" t="n">
        <v>0</v>
      </c>
      <c r="J929" t="n">
        <v>0</v>
      </c>
      <c r="K929" t="n">
        <v>0</v>
      </c>
      <c r="L929" t="n">
        <v>0</v>
      </c>
      <c r="M929" t="n">
        <v>0</v>
      </c>
      <c r="N929" t="n">
        <v>0</v>
      </c>
      <c r="O929" t="n">
        <v>0</v>
      </c>
      <c r="P929" t="n">
        <v>0</v>
      </c>
      <c r="Q929" t="n">
        <v>0</v>
      </c>
      <c r="R929" s="2" t="inlineStr"/>
    </row>
    <row r="930" ht="15" customHeight="1">
      <c r="A930" t="inlineStr">
        <is>
          <t>A 73920-2021</t>
        </is>
      </c>
      <c r="B930" s="1" t="n">
        <v>44553</v>
      </c>
      <c r="C930" s="1" t="n">
        <v>45962</v>
      </c>
      <c r="D930" t="inlineStr">
        <is>
          <t>SKÅNE LÄN</t>
        </is>
      </c>
      <c r="E930" t="inlineStr">
        <is>
          <t>OSBY</t>
        </is>
      </c>
      <c r="G930" t="n">
        <v>0.9</v>
      </c>
      <c r="H930" t="n">
        <v>0</v>
      </c>
      <c r="I930" t="n">
        <v>0</v>
      </c>
      <c r="J930" t="n">
        <v>0</v>
      </c>
      <c r="K930" t="n">
        <v>0</v>
      </c>
      <c r="L930" t="n">
        <v>0</v>
      </c>
      <c r="M930" t="n">
        <v>0</v>
      </c>
      <c r="N930" t="n">
        <v>0</v>
      </c>
      <c r="O930" t="n">
        <v>0</v>
      </c>
      <c r="P930" t="n">
        <v>0</v>
      </c>
      <c r="Q930" t="n">
        <v>0</v>
      </c>
      <c r="R930" s="2" t="inlineStr"/>
    </row>
    <row r="931" ht="15" customHeight="1">
      <c r="A931" t="inlineStr">
        <is>
          <t>A 74418-2021</t>
        </is>
      </c>
      <c r="B931" s="1" t="n">
        <v>44560</v>
      </c>
      <c r="C931" s="1" t="n">
        <v>45962</v>
      </c>
      <c r="D931" t="inlineStr">
        <is>
          <t>SKÅNE LÄN</t>
        </is>
      </c>
      <c r="E931" t="inlineStr">
        <is>
          <t>SJÖBO</t>
        </is>
      </c>
      <c r="G931" t="n">
        <v>1.1</v>
      </c>
      <c r="H931" t="n">
        <v>0</v>
      </c>
      <c r="I931" t="n">
        <v>0</v>
      </c>
      <c r="J931" t="n">
        <v>0</v>
      </c>
      <c r="K931" t="n">
        <v>0</v>
      </c>
      <c r="L931" t="n">
        <v>0</v>
      </c>
      <c r="M931" t="n">
        <v>0</v>
      </c>
      <c r="N931" t="n">
        <v>0</v>
      </c>
      <c r="O931" t="n">
        <v>0</v>
      </c>
      <c r="P931" t="n">
        <v>0</v>
      </c>
      <c r="Q931" t="n">
        <v>0</v>
      </c>
      <c r="R931" s="2" t="inlineStr"/>
    </row>
    <row r="932" ht="15" customHeight="1">
      <c r="A932" t="inlineStr">
        <is>
          <t>A 8683-2021</t>
        </is>
      </c>
      <c r="B932" s="1" t="n">
        <v>44245</v>
      </c>
      <c r="C932" s="1" t="n">
        <v>45962</v>
      </c>
      <c r="D932" t="inlineStr">
        <is>
          <t>SKÅNE LÄN</t>
        </is>
      </c>
      <c r="E932" t="inlineStr">
        <is>
          <t>PERSTORP</t>
        </is>
      </c>
      <c r="F932" t="inlineStr">
        <is>
          <t>Övriga Aktiebolag</t>
        </is>
      </c>
      <c r="G932" t="n">
        <v>13</v>
      </c>
      <c r="H932" t="n">
        <v>0</v>
      </c>
      <c r="I932" t="n">
        <v>0</v>
      </c>
      <c r="J932" t="n">
        <v>0</v>
      </c>
      <c r="K932" t="n">
        <v>0</v>
      </c>
      <c r="L932" t="n">
        <v>0</v>
      </c>
      <c r="M932" t="n">
        <v>0</v>
      </c>
      <c r="N932" t="n">
        <v>0</v>
      </c>
      <c r="O932" t="n">
        <v>0</v>
      </c>
      <c r="P932" t="n">
        <v>0</v>
      </c>
      <c r="Q932" t="n">
        <v>0</v>
      </c>
      <c r="R932" s="2" t="inlineStr"/>
    </row>
    <row r="933" ht="15" customHeight="1">
      <c r="A933" t="inlineStr">
        <is>
          <t>A 4989-2022</t>
        </is>
      </c>
      <c r="B933" s="1" t="n">
        <v>44593</v>
      </c>
      <c r="C933" s="1" t="n">
        <v>45962</v>
      </c>
      <c r="D933" t="inlineStr">
        <is>
          <t>SKÅNE LÄN</t>
        </is>
      </c>
      <c r="E933" t="inlineStr">
        <is>
          <t>PERSTORP</t>
        </is>
      </c>
      <c r="G933" t="n">
        <v>6.7</v>
      </c>
      <c r="H933" t="n">
        <v>0</v>
      </c>
      <c r="I933" t="n">
        <v>0</v>
      </c>
      <c r="J933" t="n">
        <v>0</v>
      </c>
      <c r="K933" t="n">
        <v>0</v>
      </c>
      <c r="L933" t="n">
        <v>0</v>
      </c>
      <c r="M933" t="n">
        <v>0</v>
      </c>
      <c r="N933" t="n">
        <v>0</v>
      </c>
      <c r="O933" t="n">
        <v>0</v>
      </c>
      <c r="P933" t="n">
        <v>0</v>
      </c>
      <c r="Q933" t="n">
        <v>0</v>
      </c>
      <c r="R933" s="2" t="inlineStr"/>
    </row>
    <row r="934" ht="15" customHeight="1">
      <c r="A934" t="inlineStr">
        <is>
          <t>A 8686-2021</t>
        </is>
      </c>
      <c r="B934" s="1" t="n">
        <v>44245</v>
      </c>
      <c r="C934" s="1" t="n">
        <v>45962</v>
      </c>
      <c r="D934" t="inlineStr">
        <is>
          <t>SKÅNE LÄN</t>
        </is>
      </c>
      <c r="E934" t="inlineStr">
        <is>
          <t>KLIPPAN</t>
        </is>
      </c>
      <c r="F934" t="inlineStr">
        <is>
          <t>Övriga Aktiebolag</t>
        </is>
      </c>
      <c r="G934" t="n">
        <v>0.8</v>
      </c>
      <c r="H934" t="n">
        <v>0</v>
      </c>
      <c r="I934" t="n">
        <v>0</v>
      </c>
      <c r="J934" t="n">
        <v>0</v>
      </c>
      <c r="K934" t="n">
        <v>0</v>
      </c>
      <c r="L934" t="n">
        <v>0</v>
      </c>
      <c r="M934" t="n">
        <v>0</v>
      </c>
      <c r="N934" t="n">
        <v>0</v>
      </c>
      <c r="O934" t="n">
        <v>0</v>
      </c>
      <c r="P934" t="n">
        <v>0</v>
      </c>
      <c r="Q934" t="n">
        <v>0</v>
      </c>
      <c r="R934" s="2" t="inlineStr"/>
    </row>
    <row r="935" ht="15" customHeight="1">
      <c r="A935" t="inlineStr">
        <is>
          <t>A 45108-2022</t>
        </is>
      </c>
      <c r="B935" s="1" t="n">
        <v>44843</v>
      </c>
      <c r="C935" s="1" t="n">
        <v>45962</v>
      </c>
      <c r="D935" t="inlineStr">
        <is>
          <t>SKÅNE LÄN</t>
        </is>
      </c>
      <c r="E935" t="inlineStr">
        <is>
          <t>OSBY</t>
        </is>
      </c>
      <c r="G935" t="n">
        <v>1.3</v>
      </c>
      <c r="H935" t="n">
        <v>0</v>
      </c>
      <c r="I935" t="n">
        <v>0</v>
      </c>
      <c r="J935" t="n">
        <v>0</v>
      </c>
      <c r="K935" t="n">
        <v>0</v>
      </c>
      <c r="L935" t="n">
        <v>0</v>
      </c>
      <c r="M935" t="n">
        <v>0</v>
      </c>
      <c r="N935" t="n">
        <v>0</v>
      </c>
      <c r="O935" t="n">
        <v>0</v>
      </c>
      <c r="P935" t="n">
        <v>0</v>
      </c>
      <c r="Q935" t="n">
        <v>0</v>
      </c>
      <c r="R935" s="2" t="inlineStr"/>
    </row>
    <row r="936" ht="15" customHeight="1">
      <c r="A936" t="inlineStr">
        <is>
          <t>A 45043-2022</t>
        </is>
      </c>
      <c r="B936" s="1" t="n">
        <v>44841.68107638889</v>
      </c>
      <c r="C936" s="1" t="n">
        <v>45962</v>
      </c>
      <c r="D936" t="inlineStr">
        <is>
          <t>SKÅNE LÄN</t>
        </is>
      </c>
      <c r="E936" t="inlineStr">
        <is>
          <t>KRISTIANSTAD</t>
        </is>
      </c>
      <c r="G936" t="n">
        <v>0.4</v>
      </c>
      <c r="H936" t="n">
        <v>0</v>
      </c>
      <c r="I936" t="n">
        <v>0</v>
      </c>
      <c r="J936" t="n">
        <v>0</v>
      </c>
      <c r="K936" t="n">
        <v>0</v>
      </c>
      <c r="L936" t="n">
        <v>0</v>
      </c>
      <c r="M936" t="n">
        <v>0</v>
      </c>
      <c r="N936" t="n">
        <v>0</v>
      </c>
      <c r="O936" t="n">
        <v>0</v>
      </c>
      <c r="P936" t="n">
        <v>0</v>
      </c>
      <c r="Q936" t="n">
        <v>0</v>
      </c>
      <c r="R936" s="2" t="inlineStr"/>
    </row>
    <row r="937" ht="15" customHeight="1">
      <c r="A937" t="inlineStr">
        <is>
          <t>A 8248-2022</t>
        </is>
      </c>
      <c r="B937" s="1" t="n">
        <v>44609</v>
      </c>
      <c r="C937" s="1" t="n">
        <v>45962</v>
      </c>
      <c r="D937" t="inlineStr">
        <is>
          <t>SKÅNE LÄN</t>
        </is>
      </c>
      <c r="E937" t="inlineStr">
        <is>
          <t>OSBY</t>
        </is>
      </c>
      <c r="F937" t="inlineStr">
        <is>
          <t>Kyrkan</t>
        </is>
      </c>
      <c r="G937" t="n">
        <v>8.9</v>
      </c>
      <c r="H937" t="n">
        <v>0</v>
      </c>
      <c r="I937" t="n">
        <v>0</v>
      </c>
      <c r="J937" t="n">
        <v>0</v>
      </c>
      <c r="K937" t="n">
        <v>0</v>
      </c>
      <c r="L937" t="n">
        <v>0</v>
      </c>
      <c r="M937" t="n">
        <v>0</v>
      </c>
      <c r="N937" t="n">
        <v>0</v>
      </c>
      <c r="O937" t="n">
        <v>0</v>
      </c>
      <c r="P937" t="n">
        <v>0</v>
      </c>
      <c r="Q937" t="n">
        <v>0</v>
      </c>
      <c r="R937" s="2" t="inlineStr"/>
    </row>
    <row r="938" ht="15" customHeight="1">
      <c r="A938" t="inlineStr">
        <is>
          <t>A 47112-2021</t>
        </is>
      </c>
      <c r="B938" s="1" t="n">
        <v>44446</v>
      </c>
      <c r="C938" s="1" t="n">
        <v>45962</v>
      </c>
      <c r="D938" t="inlineStr">
        <is>
          <t>SKÅNE LÄN</t>
        </is>
      </c>
      <c r="E938" t="inlineStr">
        <is>
          <t>HÄSSLEHOLM</t>
        </is>
      </c>
      <c r="G938" t="n">
        <v>9.699999999999999</v>
      </c>
      <c r="H938" t="n">
        <v>0</v>
      </c>
      <c r="I938" t="n">
        <v>0</v>
      </c>
      <c r="J938" t="n">
        <v>0</v>
      </c>
      <c r="K938" t="n">
        <v>0</v>
      </c>
      <c r="L938" t="n">
        <v>0</v>
      </c>
      <c r="M938" t="n">
        <v>0</v>
      </c>
      <c r="N938" t="n">
        <v>0</v>
      </c>
      <c r="O938" t="n">
        <v>0</v>
      </c>
      <c r="P938" t="n">
        <v>0</v>
      </c>
      <c r="Q938" t="n">
        <v>0</v>
      </c>
      <c r="R938" s="2" t="inlineStr"/>
    </row>
    <row r="939" ht="15" customHeight="1">
      <c r="A939" t="inlineStr">
        <is>
          <t>A 52304-2021</t>
        </is>
      </c>
      <c r="B939" s="1" t="n">
        <v>44463.82530092593</v>
      </c>
      <c r="C939" s="1" t="n">
        <v>45962</v>
      </c>
      <c r="D939" t="inlineStr">
        <is>
          <t>SKÅNE LÄN</t>
        </is>
      </c>
      <c r="E939" t="inlineStr">
        <is>
          <t>ÖSTRA GÖINGE</t>
        </is>
      </c>
      <c r="G939" t="n">
        <v>1.2</v>
      </c>
      <c r="H939" t="n">
        <v>0</v>
      </c>
      <c r="I939" t="n">
        <v>0</v>
      </c>
      <c r="J939" t="n">
        <v>0</v>
      </c>
      <c r="K939" t="n">
        <v>0</v>
      </c>
      <c r="L939" t="n">
        <v>0</v>
      </c>
      <c r="M939" t="n">
        <v>0</v>
      </c>
      <c r="N939" t="n">
        <v>0</v>
      </c>
      <c r="O939" t="n">
        <v>0</v>
      </c>
      <c r="P939" t="n">
        <v>0</v>
      </c>
      <c r="Q939" t="n">
        <v>0</v>
      </c>
      <c r="R939" s="2" t="inlineStr"/>
    </row>
    <row r="940" ht="15" customHeight="1">
      <c r="A940" t="inlineStr">
        <is>
          <t>A 43865-2022</t>
        </is>
      </c>
      <c r="B940" s="1" t="n">
        <v>44838.43405092593</v>
      </c>
      <c r="C940" s="1" t="n">
        <v>45962</v>
      </c>
      <c r="D940" t="inlineStr">
        <is>
          <t>SKÅNE LÄN</t>
        </is>
      </c>
      <c r="E940" t="inlineStr">
        <is>
          <t>KRISTIANSTAD</t>
        </is>
      </c>
      <c r="F940" t="inlineStr">
        <is>
          <t>Sveaskog</t>
        </is>
      </c>
      <c r="G940" t="n">
        <v>3.9</v>
      </c>
      <c r="H940" t="n">
        <v>0</v>
      </c>
      <c r="I940" t="n">
        <v>0</v>
      </c>
      <c r="J940" t="n">
        <v>0</v>
      </c>
      <c r="K940" t="n">
        <v>0</v>
      </c>
      <c r="L940" t="n">
        <v>0</v>
      </c>
      <c r="M940" t="n">
        <v>0</v>
      </c>
      <c r="N940" t="n">
        <v>0</v>
      </c>
      <c r="O940" t="n">
        <v>0</v>
      </c>
      <c r="P940" t="n">
        <v>0</v>
      </c>
      <c r="Q940" t="n">
        <v>0</v>
      </c>
      <c r="R940" s="2" t="inlineStr"/>
    </row>
    <row r="941" ht="15" customHeight="1">
      <c r="A941" t="inlineStr">
        <is>
          <t>A 49747-2022</t>
        </is>
      </c>
      <c r="B941" s="1" t="n">
        <v>44862.57940972222</v>
      </c>
      <c r="C941" s="1" t="n">
        <v>45962</v>
      </c>
      <c r="D941" t="inlineStr">
        <is>
          <t>SKÅNE LÄN</t>
        </is>
      </c>
      <c r="E941" t="inlineStr">
        <is>
          <t>KRISTIANSTAD</t>
        </is>
      </c>
      <c r="G941" t="n">
        <v>0.7</v>
      </c>
      <c r="H941" t="n">
        <v>0</v>
      </c>
      <c r="I941" t="n">
        <v>0</v>
      </c>
      <c r="J941" t="n">
        <v>0</v>
      </c>
      <c r="K941" t="n">
        <v>0</v>
      </c>
      <c r="L941" t="n">
        <v>0</v>
      </c>
      <c r="M941" t="n">
        <v>0</v>
      </c>
      <c r="N941" t="n">
        <v>0</v>
      </c>
      <c r="O941" t="n">
        <v>0</v>
      </c>
      <c r="P941" t="n">
        <v>0</v>
      </c>
      <c r="Q941" t="n">
        <v>0</v>
      </c>
      <c r="R941" s="2" t="inlineStr"/>
    </row>
    <row r="942" ht="15" customHeight="1">
      <c r="A942" t="inlineStr">
        <is>
          <t>A 2858-2022</t>
        </is>
      </c>
      <c r="B942" s="1" t="n">
        <v>44581</v>
      </c>
      <c r="C942" s="1" t="n">
        <v>45962</v>
      </c>
      <c r="D942" t="inlineStr">
        <is>
          <t>SKÅNE LÄN</t>
        </is>
      </c>
      <c r="E942" t="inlineStr">
        <is>
          <t>HÄSSLEHOLM</t>
        </is>
      </c>
      <c r="F942" t="inlineStr">
        <is>
          <t>Övriga Aktiebolag</t>
        </is>
      </c>
      <c r="G942" t="n">
        <v>1.3</v>
      </c>
      <c r="H942" t="n">
        <v>0</v>
      </c>
      <c r="I942" t="n">
        <v>0</v>
      </c>
      <c r="J942" t="n">
        <v>0</v>
      </c>
      <c r="K942" t="n">
        <v>0</v>
      </c>
      <c r="L942" t="n">
        <v>0</v>
      </c>
      <c r="M942" t="n">
        <v>0</v>
      </c>
      <c r="N942" t="n">
        <v>0</v>
      </c>
      <c r="O942" t="n">
        <v>0</v>
      </c>
      <c r="P942" t="n">
        <v>0</v>
      </c>
      <c r="Q942" t="n">
        <v>0</v>
      </c>
      <c r="R942" s="2" t="inlineStr"/>
    </row>
    <row r="943" ht="15" customHeight="1">
      <c r="A943" t="inlineStr">
        <is>
          <t>A 57807-2020</t>
        </is>
      </c>
      <c r="B943" s="1" t="n">
        <v>44141</v>
      </c>
      <c r="C943" s="1" t="n">
        <v>45962</v>
      </c>
      <c r="D943" t="inlineStr">
        <is>
          <t>SKÅNE LÄN</t>
        </is>
      </c>
      <c r="E943" t="inlineStr">
        <is>
          <t>HÄSSLEHOLM</t>
        </is>
      </c>
      <c r="G943" t="n">
        <v>1.9</v>
      </c>
      <c r="H943" t="n">
        <v>0</v>
      </c>
      <c r="I943" t="n">
        <v>0</v>
      </c>
      <c r="J943" t="n">
        <v>0</v>
      </c>
      <c r="K943" t="n">
        <v>0</v>
      </c>
      <c r="L943" t="n">
        <v>0</v>
      </c>
      <c r="M943" t="n">
        <v>0</v>
      </c>
      <c r="N943" t="n">
        <v>0</v>
      </c>
      <c r="O943" t="n">
        <v>0</v>
      </c>
      <c r="P943" t="n">
        <v>0</v>
      </c>
      <c r="Q943" t="n">
        <v>0</v>
      </c>
      <c r="R943" s="2" t="inlineStr"/>
    </row>
    <row r="944" ht="15" customHeight="1">
      <c r="A944" t="inlineStr">
        <is>
          <t>A 60263-2021</t>
        </is>
      </c>
      <c r="B944" s="1" t="n">
        <v>44495</v>
      </c>
      <c r="C944" s="1" t="n">
        <v>45962</v>
      </c>
      <c r="D944" t="inlineStr">
        <is>
          <t>SKÅNE LÄN</t>
        </is>
      </c>
      <c r="E944" t="inlineStr">
        <is>
          <t>SJÖBO</t>
        </is>
      </c>
      <c r="G944" t="n">
        <v>0.9</v>
      </c>
      <c r="H944" t="n">
        <v>0</v>
      </c>
      <c r="I944" t="n">
        <v>0</v>
      </c>
      <c r="J944" t="n">
        <v>0</v>
      </c>
      <c r="K944" t="n">
        <v>0</v>
      </c>
      <c r="L944" t="n">
        <v>0</v>
      </c>
      <c r="M944" t="n">
        <v>0</v>
      </c>
      <c r="N944" t="n">
        <v>0</v>
      </c>
      <c r="O944" t="n">
        <v>0</v>
      </c>
      <c r="P944" t="n">
        <v>0</v>
      </c>
      <c r="Q944" t="n">
        <v>0</v>
      </c>
      <c r="R944" s="2" t="inlineStr"/>
    </row>
    <row r="945" ht="15" customHeight="1">
      <c r="A945" t="inlineStr">
        <is>
          <t>A 12174-2021</t>
        </is>
      </c>
      <c r="B945" s="1" t="n">
        <v>44266</v>
      </c>
      <c r="C945" s="1" t="n">
        <v>45962</v>
      </c>
      <c r="D945" t="inlineStr">
        <is>
          <t>SKÅNE LÄN</t>
        </is>
      </c>
      <c r="E945" t="inlineStr">
        <is>
          <t>HÖRBY</t>
        </is>
      </c>
      <c r="G945" t="n">
        <v>9.300000000000001</v>
      </c>
      <c r="H945" t="n">
        <v>0</v>
      </c>
      <c r="I945" t="n">
        <v>0</v>
      </c>
      <c r="J945" t="n">
        <v>0</v>
      </c>
      <c r="K945" t="n">
        <v>0</v>
      </c>
      <c r="L945" t="n">
        <v>0</v>
      </c>
      <c r="M945" t="n">
        <v>0</v>
      </c>
      <c r="N945" t="n">
        <v>0</v>
      </c>
      <c r="O945" t="n">
        <v>0</v>
      </c>
      <c r="P945" t="n">
        <v>0</v>
      </c>
      <c r="Q945" t="n">
        <v>0</v>
      </c>
      <c r="R945" s="2" t="inlineStr"/>
    </row>
    <row r="946" ht="15" customHeight="1">
      <c r="A946" t="inlineStr">
        <is>
          <t>A 28227-2021</t>
        </is>
      </c>
      <c r="B946" s="1" t="n">
        <v>44355.65476851852</v>
      </c>
      <c r="C946" s="1" t="n">
        <v>45962</v>
      </c>
      <c r="D946" t="inlineStr">
        <is>
          <t>SKÅNE LÄN</t>
        </is>
      </c>
      <c r="E946" t="inlineStr">
        <is>
          <t>OSBY</t>
        </is>
      </c>
      <c r="G946" t="n">
        <v>1.7</v>
      </c>
      <c r="H946" t="n">
        <v>0</v>
      </c>
      <c r="I946" t="n">
        <v>0</v>
      </c>
      <c r="J946" t="n">
        <v>0</v>
      </c>
      <c r="K946" t="n">
        <v>0</v>
      </c>
      <c r="L946" t="n">
        <v>0</v>
      </c>
      <c r="M946" t="n">
        <v>0</v>
      </c>
      <c r="N946" t="n">
        <v>0</v>
      </c>
      <c r="O946" t="n">
        <v>0</v>
      </c>
      <c r="P946" t="n">
        <v>0</v>
      </c>
      <c r="Q946" t="n">
        <v>0</v>
      </c>
      <c r="R946" s="2" t="inlineStr"/>
    </row>
    <row r="947" ht="15" customHeight="1">
      <c r="A947" t="inlineStr">
        <is>
          <t>A 22548-2022</t>
        </is>
      </c>
      <c r="B947" s="1" t="n">
        <v>44713.92694444444</v>
      </c>
      <c r="C947" s="1" t="n">
        <v>45962</v>
      </c>
      <c r="D947" t="inlineStr">
        <is>
          <t>SKÅNE LÄN</t>
        </is>
      </c>
      <c r="E947" t="inlineStr">
        <is>
          <t>KRISTIANSTAD</t>
        </is>
      </c>
      <c r="G947" t="n">
        <v>0.9</v>
      </c>
      <c r="H947" t="n">
        <v>0</v>
      </c>
      <c r="I947" t="n">
        <v>0</v>
      </c>
      <c r="J947" t="n">
        <v>0</v>
      </c>
      <c r="K947" t="n">
        <v>0</v>
      </c>
      <c r="L947" t="n">
        <v>0</v>
      </c>
      <c r="M947" t="n">
        <v>0</v>
      </c>
      <c r="N947" t="n">
        <v>0</v>
      </c>
      <c r="O947" t="n">
        <v>0</v>
      </c>
      <c r="P947" t="n">
        <v>0</v>
      </c>
      <c r="Q947" t="n">
        <v>0</v>
      </c>
      <c r="R947" s="2" t="inlineStr"/>
    </row>
    <row r="948" ht="15" customHeight="1">
      <c r="A948" t="inlineStr">
        <is>
          <t>A 11970-2022</t>
        </is>
      </c>
      <c r="B948" s="1" t="n">
        <v>44635</v>
      </c>
      <c r="C948" s="1" t="n">
        <v>45962</v>
      </c>
      <c r="D948" t="inlineStr">
        <is>
          <t>SKÅNE LÄN</t>
        </is>
      </c>
      <c r="E948" t="inlineStr">
        <is>
          <t>ÖRKELLJUNGA</t>
        </is>
      </c>
      <c r="G948" t="n">
        <v>2.8</v>
      </c>
      <c r="H948" t="n">
        <v>0</v>
      </c>
      <c r="I948" t="n">
        <v>0</v>
      </c>
      <c r="J948" t="n">
        <v>0</v>
      </c>
      <c r="K948" t="n">
        <v>0</v>
      </c>
      <c r="L948" t="n">
        <v>0</v>
      </c>
      <c r="M948" t="n">
        <v>0</v>
      </c>
      <c r="N948" t="n">
        <v>0</v>
      </c>
      <c r="O948" t="n">
        <v>0</v>
      </c>
      <c r="P948" t="n">
        <v>0</v>
      </c>
      <c r="Q948" t="n">
        <v>0</v>
      </c>
      <c r="R948" s="2" t="inlineStr"/>
    </row>
    <row r="949" ht="15" customHeight="1">
      <c r="A949" t="inlineStr">
        <is>
          <t>A 40139-2022</t>
        </is>
      </c>
      <c r="B949" s="1" t="n">
        <v>44820</v>
      </c>
      <c r="C949" s="1" t="n">
        <v>45962</v>
      </c>
      <c r="D949" t="inlineStr">
        <is>
          <t>SKÅNE LÄN</t>
        </is>
      </c>
      <c r="E949" t="inlineStr">
        <is>
          <t>ÖSTRA GÖINGE</t>
        </is>
      </c>
      <c r="G949" t="n">
        <v>0.2</v>
      </c>
      <c r="H949" t="n">
        <v>0</v>
      </c>
      <c r="I949" t="n">
        <v>0</v>
      </c>
      <c r="J949" t="n">
        <v>0</v>
      </c>
      <c r="K949" t="n">
        <v>0</v>
      </c>
      <c r="L949" t="n">
        <v>0</v>
      </c>
      <c r="M949" t="n">
        <v>0</v>
      </c>
      <c r="N949" t="n">
        <v>0</v>
      </c>
      <c r="O949" t="n">
        <v>0</v>
      </c>
      <c r="P949" t="n">
        <v>0</v>
      </c>
      <c r="Q949" t="n">
        <v>0</v>
      </c>
      <c r="R949" s="2" t="inlineStr"/>
    </row>
    <row r="950" ht="15" customHeight="1">
      <c r="A950" t="inlineStr">
        <is>
          <t>A 27959-2022</t>
        </is>
      </c>
      <c r="B950" s="1" t="n">
        <v>44744</v>
      </c>
      <c r="C950" s="1" t="n">
        <v>45962</v>
      </c>
      <c r="D950" t="inlineStr">
        <is>
          <t>SKÅNE LÄN</t>
        </is>
      </c>
      <c r="E950" t="inlineStr">
        <is>
          <t>HÄSSLEHOLM</t>
        </is>
      </c>
      <c r="G950" t="n">
        <v>3</v>
      </c>
      <c r="H950" t="n">
        <v>0</v>
      </c>
      <c r="I950" t="n">
        <v>0</v>
      </c>
      <c r="J950" t="n">
        <v>0</v>
      </c>
      <c r="K950" t="n">
        <v>0</v>
      </c>
      <c r="L950" t="n">
        <v>0</v>
      </c>
      <c r="M950" t="n">
        <v>0</v>
      </c>
      <c r="N950" t="n">
        <v>0</v>
      </c>
      <c r="O950" t="n">
        <v>0</v>
      </c>
      <c r="P950" t="n">
        <v>0</v>
      </c>
      <c r="Q950" t="n">
        <v>0</v>
      </c>
      <c r="R950" s="2" t="inlineStr"/>
    </row>
    <row r="951" ht="15" customHeight="1">
      <c r="A951" t="inlineStr">
        <is>
          <t>A 53784-2021</t>
        </is>
      </c>
      <c r="B951" s="1" t="n">
        <v>44469.58342592593</v>
      </c>
      <c r="C951" s="1" t="n">
        <v>45962</v>
      </c>
      <c r="D951" t="inlineStr">
        <is>
          <t>SKÅNE LÄN</t>
        </is>
      </c>
      <c r="E951" t="inlineStr">
        <is>
          <t>PERSTORP</t>
        </is>
      </c>
      <c r="G951" t="n">
        <v>1.5</v>
      </c>
      <c r="H951" t="n">
        <v>0</v>
      </c>
      <c r="I951" t="n">
        <v>0</v>
      </c>
      <c r="J951" t="n">
        <v>0</v>
      </c>
      <c r="K951" t="n">
        <v>0</v>
      </c>
      <c r="L951" t="n">
        <v>0</v>
      </c>
      <c r="M951" t="n">
        <v>0</v>
      </c>
      <c r="N951" t="n">
        <v>0</v>
      </c>
      <c r="O951" t="n">
        <v>0</v>
      </c>
      <c r="P951" t="n">
        <v>0</v>
      </c>
      <c r="Q951" t="n">
        <v>0</v>
      </c>
      <c r="R951" s="2" t="inlineStr"/>
    </row>
    <row r="952" ht="15" customHeight="1">
      <c r="A952" t="inlineStr">
        <is>
          <t>A 50520-2022</t>
        </is>
      </c>
      <c r="B952" s="1" t="n">
        <v>44866.56840277778</v>
      </c>
      <c r="C952" s="1" t="n">
        <v>45962</v>
      </c>
      <c r="D952" t="inlineStr">
        <is>
          <t>SKÅNE LÄN</t>
        </is>
      </c>
      <c r="E952" t="inlineStr">
        <is>
          <t>KRISTIANSTAD</t>
        </is>
      </c>
      <c r="G952" t="n">
        <v>0.3</v>
      </c>
      <c r="H952" t="n">
        <v>0</v>
      </c>
      <c r="I952" t="n">
        <v>0</v>
      </c>
      <c r="J952" t="n">
        <v>0</v>
      </c>
      <c r="K952" t="n">
        <v>0</v>
      </c>
      <c r="L952" t="n">
        <v>0</v>
      </c>
      <c r="M952" t="n">
        <v>0</v>
      </c>
      <c r="N952" t="n">
        <v>0</v>
      </c>
      <c r="O952" t="n">
        <v>0</v>
      </c>
      <c r="P952" t="n">
        <v>0</v>
      </c>
      <c r="Q952" t="n">
        <v>0</v>
      </c>
      <c r="R952" s="2" t="inlineStr"/>
    </row>
    <row r="953" ht="15" customHeight="1">
      <c r="A953" t="inlineStr">
        <is>
          <t>A 25051-2021</t>
        </is>
      </c>
      <c r="B953" s="1" t="n">
        <v>44341</v>
      </c>
      <c r="C953" s="1" t="n">
        <v>45962</v>
      </c>
      <c r="D953" t="inlineStr">
        <is>
          <t>SKÅNE LÄN</t>
        </is>
      </c>
      <c r="E953" t="inlineStr">
        <is>
          <t>KRISTIANSTAD</t>
        </is>
      </c>
      <c r="F953" t="inlineStr">
        <is>
          <t>Övriga Aktiebolag</t>
        </is>
      </c>
      <c r="G953" t="n">
        <v>6</v>
      </c>
      <c r="H953" t="n">
        <v>0</v>
      </c>
      <c r="I953" t="n">
        <v>0</v>
      </c>
      <c r="J953" t="n">
        <v>0</v>
      </c>
      <c r="K953" t="n">
        <v>0</v>
      </c>
      <c r="L953" t="n">
        <v>0</v>
      </c>
      <c r="M953" t="n">
        <v>0</v>
      </c>
      <c r="N953" t="n">
        <v>0</v>
      </c>
      <c r="O953" t="n">
        <v>0</v>
      </c>
      <c r="P953" t="n">
        <v>0</v>
      </c>
      <c r="Q953" t="n">
        <v>0</v>
      </c>
      <c r="R953" s="2" t="inlineStr"/>
    </row>
    <row r="954" ht="15" customHeight="1">
      <c r="A954" t="inlineStr">
        <is>
          <t>A 67024-2021</t>
        </is>
      </c>
      <c r="B954" s="1" t="n">
        <v>44522</v>
      </c>
      <c r="C954" s="1" t="n">
        <v>45962</v>
      </c>
      <c r="D954" t="inlineStr">
        <is>
          <t>SKÅNE LÄN</t>
        </is>
      </c>
      <c r="E954" t="inlineStr">
        <is>
          <t>KRISTIANSTAD</t>
        </is>
      </c>
      <c r="G954" t="n">
        <v>2.2</v>
      </c>
      <c r="H954" t="n">
        <v>0</v>
      </c>
      <c r="I954" t="n">
        <v>0</v>
      </c>
      <c r="J954" t="n">
        <v>0</v>
      </c>
      <c r="K954" t="n">
        <v>0</v>
      </c>
      <c r="L954" t="n">
        <v>0</v>
      </c>
      <c r="M954" t="n">
        <v>0</v>
      </c>
      <c r="N954" t="n">
        <v>0</v>
      </c>
      <c r="O954" t="n">
        <v>0</v>
      </c>
      <c r="P954" t="n">
        <v>0</v>
      </c>
      <c r="Q954" t="n">
        <v>0</v>
      </c>
      <c r="R954" s="2" t="inlineStr"/>
    </row>
    <row r="955" ht="15" customHeight="1">
      <c r="A955" t="inlineStr">
        <is>
          <t>A 5320-2022</t>
        </is>
      </c>
      <c r="B955" s="1" t="n">
        <v>44594.66660879629</v>
      </c>
      <c r="C955" s="1" t="n">
        <v>45962</v>
      </c>
      <c r="D955" t="inlineStr">
        <is>
          <t>SKÅNE LÄN</t>
        </is>
      </c>
      <c r="E955" t="inlineStr">
        <is>
          <t>BROMÖLLA</t>
        </is>
      </c>
      <c r="G955" t="n">
        <v>7.4</v>
      </c>
      <c r="H955" t="n">
        <v>0</v>
      </c>
      <c r="I955" t="n">
        <v>0</v>
      </c>
      <c r="J955" t="n">
        <v>0</v>
      </c>
      <c r="K955" t="n">
        <v>0</v>
      </c>
      <c r="L955" t="n">
        <v>0</v>
      </c>
      <c r="M955" t="n">
        <v>0</v>
      </c>
      <c r="N955" t="n">
        <v>0</v>
      </c>
      <c r="O955" t="n">
        <v>0</v>
      </c>
      <c r="P955" t="n">
        <v>0</v>
      </c>
      <c r="Q955" t="n">
        <v>0</v>
      </c>
      <c r="R955" s="2" t="inlineStr"/>
    </row>
    <row r="956" ht="15" customHeight="1">
      <c r="A956" t="inlineStr">
        <is>
          <t>A 6414-2022</t>
        </is>
      </c>
      <c r="B956" s="1" t="n">
        <v>44600</v>
      </c>
      <c r="C956" s="1" t="n">
        <v>45962</v>
      </c>
      <c r="D956" t="inlineStr">
        <is>
          <t>SKÅNE LÄN</t>
        </is>
      </c>
      <c r="E956" t="inlineStr">
        <is>
          <t>HÄSSLEHOLM</t>
        </is>
      </c>
      <c r="G956" t="n">
        <v>2.9</v>
      </c>
      <c r="H956" t="n">
        <v>0</v>
      </c>
      <c r="I956" t="n">
        <v>0</v>
      </c>
      <c r="J956" t="n">
        <v>0</v>
      </c>
      <c r="K956" t="n">
        <v>0</v>
      </c>
      <c r="L956" t="n">
        <v>0</v>
      </c>
      <c r="M956" t="n">
        <v>0</v>
      </c>
      <c r="N956" t="n">
        <v>0</v>
      </c>
      <c r="O956" t="n">
        <v>0</v>
      </c>
      <c r="P956" t="n">
        <v>0</v>
      </c>
      <c r="Q956" t="n">
        <v>0</v>
      </c>
      <c r="R956" s="2" t="inlineStr"/>
    </row>
    <row r="957" ht="15" customHeight="1">
      <c r="A957" t="inlineStr">
        <is>
          <t>A 69505-2020</t>
        </is>
      </c>
      <c r="B957" s="1" t="n">
        <v>44194</v>
      </c>
      <c r="C957" s="1" t="n">
        <v>45962</v>
      </c>
      <c r="D957" t="inlineStr">
        <is>
          <t>SKÅNE LÄN</t>
        </is>
      </c>
      <c r="E957" t="inlineStr">
        <is>
          <t>HÄSSLEHOLM</t>
        </is>
      </c>
      <c r="G957" t="n">
        <v>0.5</v>
      </c>
      <c r="H957" t="n">
        <v>0</v>
      </c>
      <c r="I957" t="n">
        <v>0</v>
      </c>
      <c r="J957" t="n">
        <v>0</v>
      </c>
      <c r="K957" t="n">
        <v>0</v>
      </c>
      <c r="L957" t="n">
        <v>0</v>
      </c>
      <c r="M957" t="n">
        <v>0</v>
      </c>
      <c r="N957" t="n">
        <v>0</v>
      </c>
      <c r="O957" t="n">
        <v>0</v>
      </c>
      <c r="P957" t="n">
        <v>0</v>
      </c>
      <c r="Q957" t="n">
        <v>0</v>
      </c>
      <c r="R957" s="2" t="inlineStr"/>
    </row>
    <row r="958" ht="15" customHeight="1">
      <c r="A958" t="inlineStr">
        <is>
          <t>A 66666-2020</t>
        </is>
      </c>
      <c r="B958" s="1" t="n">
        <v>44179</v>
      </c>
      <c r="C958" s="1" t="n">
        <v>45962</v>
      </c>
      <c r="D958" t="inlineStr">
        <is>
          <t>SKÅNE LÄN</t>
        </is>
      </c>
      <c r="E958" t="inlineStr">
        <is>
          <t>PERSTORP</t>
        </is>
      </c>
      <c r="F958" t="inlineStr">
        <is>
          <t>Kyrkan</t>
        </is>
      </c>
      <c r="G958" t="n">
        <v>18.4</v>
      </c>
      <c r="H958" t="n">
        <v>0</v>
      </c>
      <c r="I958" t="n">
        <v>0</v>
      </c>
      <c r="J958" t="n">
        <v>0</v>
      </c>
      <c r="K958" t="n">
        <v>0</v>
      </c>
      <c r="L958" t="n">
        <v>0</v>
      </c>
      <c r="M958" t="n">
        <v>0</v>
      </c>
      <c r="N958" t="n">
        <v>0</v>
      </c>
      <c r="O958" t="n">
        <v>0</v>
      </c>
      <c r="P958" t="n">
        <v>0</v>
      </c>
      <c r="Q958" t="n">
        <v>0</v>
      </c>
      <c r="R958" s="2" t="inlineStr"/>
    </row>
    <row r="959" ht="15" customHeight="1">
      <c r="A959" t="inlineStr">
        <is>
          <t>A 10081-2021</t>
        </is>
      </c>
      <c r="B959" s="1" t="n">
        <v>44256</v>
      </c>
      <c r="C959" s="1" t="n">
        <v>45962</v>
      </c>
      <c r="D959" t="inlineStr">
        <is>
          <t>SKÅNE LÄN</t>
        </is>
      </c>
      <c r="E959" t="inlineStr">
        <is>
          <t>KRISTIANSTAD</t>
        </is>
      </c>
      <c r="G959" t="n">
        <v>0.8</v>
      </c>
      <c r="H959" t="n">
        <v>0</v>
      </c>
      <c r="I959" t="n">
        <v>0</v>
      </c>
      <c r="J959" t="n">
        <v>0</v>
      </c>
      <c r="K959" t="n">
        <v>0</v>
      </c>
      <c r="L959" t="n">
        <v>0</v>
      </c>
      <c r="M959" t="n">
        <v>0</v>
      </c>
      <c r="N959" t="n">
        <v>0</v>
      </c>
      <c r="O959" t="n">
        <v>0</v>
      </c>
      <c r="P959" t="n">
        <v>0</v>
      </c>
      <c r="Q959" t="n">
        <v>0</v>
      </c>
      <c r="R959" s="2" t="inlineStr"/>
    </row>
    <row r="960" ht="15" customHeight="1">
      <c r="A960" t="inlineStr">
        <is>
          <t>A 16056-2022</t>
        </is>
      </c>
      <c r="B960" s="1" t="n">
        <v>44665.48672453704</v>
      </c>
      <c r="C960" s="1" t="n">
        <v>45962</v>
      </c>
      <c r="D960" t="inlineStr">
        <is>
          <t>SKÅNE LÄN</t>
        </is>
      </c>
      <c r="E960" t="inlineStr">
        <is>
          <t>OSBY</t>
        </is>
      </c>
      <c r="G960" t="n">
        <v>2.9</v>
      </c>
      <c r="H960" t="n">
        <v>0</v>
      </c>
      <c r="I960" t="n">
        <v>0</v>
      </c>
      <c r="J960" t="n">
        <v>0</v>
      </c>
      <c r="K960" t="n">
        <v>0</v>
      </c>
      <c r="L960" t="n">
        <v>0</v>
      </c>
      <c r="M960" t="n">
        <v>0</v>
      </c>
      <c r="N960" t="n">
        <v>0</v>
      </c>
      <c r="O960" t="n">
        <v>0</v>
      </c>
      <c r="P960" t="n">
        <v>0</v>
      </c>
      <c r="Q960" t="n">
        <v>0</v>
      </c>
      <c r="R960" s="2" t="inlineStr"/>
    </row>
    <row r="961" ht="15" customHeight="1">
      <c r="A961" t="inlineStr">
        <is>
          <t>A 5816-2022</t>
        </is>
      </c>
      <c r="B961" s="1" t="n">
        <v>44596</v>
      </c>
      <c r="C961" s="1" t="n">
        <v>45962</v>
      </c>
      <c r="D961" t="inlineStr">
        <is>
          <t>SKÅNE LÄN</t>
        </is>
      </c>
      <c r="E961" t="inlineStr">
        <is>
          <t>BROMÖLLA</t>
        </is>
      </c>
      <c r="G961" t="n">
        <v>1.5</v>
      </c>
      <c r="H961" t="n">
        <v>0</v>
      </c>
      <c r="I961" t="n">
        <v>0</v>
      </c>
      <c r="J961" t="n">
        <v>0</v>
      </c>
      <c r="K961" t="n">
        <v>0</v>
      </c>
      <c r="L961" t="n">
        <v>0</v>
      </c>
      <c r="M961" t="n">
        <v>0</v>
      </c>
      <c r="N961" t="n">
        <v>0</v>
      </c>
      <c r="O961" t="n">
        <v>0</v>
      </c>
      <c r="P961" t="n">
        <v>0</v>
      </c>
      <c r="Q961" t="n">
        <v>0</v>
      </c>
      <c r="R961" s="2" t="inlineStr"/>
    </row>
    <row r="962" ht="15" customHeight="1">
      <c r="A962" t="inlineStr">
        <is>
          <t>A 17387-2021</t>
        </is>
      </c>
      <c r="B962" s="1" t="n">
        <v>44298</v>
      </c>
      <c r="C962" s="1" t="n">
        <v>45962</v>
      </c>
      <c r="D962" t="inlineStr">
        <is>
          <t>SKÅNE LÄN</t>
        </is>
      </c>
      <c r="E962" t="inlineStr">
        <is>
          <t>KRISTIANSTAD</t>
        </is>
      </c>
      <c r="G962" t="n">
        <v>2.7</v>
      </c>
      <c r="H962" t="n">
        <v>0</v>
      </c>
      <c r="I962" t="n">
        <v>0</v>
      </c>
      <c r="J962" t="n">
        <v>0</v>
      </c>
      <c r="K962" t="n">
        <v>0</v>
      </c>
      <c r="L962" t="n">
        <v>0</v>
      </c>
      <c r="M962" t="n">
        <v>0</v>
      </c>
      <c r="N962" t="n">
        <v>0</v>
      </c>
      <c r="O962" t="n">
        <v>0</v>
      </c>
      <c r="P962" t="n">
        <v>0</v>
      </c>
      <c r="Q962" t="n">
        <v>0</v>
      </c>
      <c r="R962" s="2" t="inlineStr"/>
    </row>
    <row r="963" ht="15" customHeight="1">
      <c r="A963" t="inlineStr">
        <is>
          <t>A 58370-2020</t>
        </is>
      </c>
      <c r="B963" s="1" t="n">
        <v>44144</v>
      </c>
      <c r="C963" s="1" t="n">
        <v>45962</v>
      </c>
      <c r="D963" t="inlineStr">
        <is>
          <t>SKÅNE LÄN</t>
        </is>
      </c>
      <c r="E963" t="inlineStr">
        <is>
          <t>KLIPPAN</t>
        </is>
      </c>
      <c r="G963" t="n">
        <v>0.7</v>
      </c>
      <c r="H963" t="n">
        <v>0</v>
      </c>
      <c r="I963" t="n">
        <v>0</v>
      </c>
      <c r="J963" t="n">
        <v>0</v>
      </c>
      <c r="K963" t="n">
        <v>0</v>
      </c>
      <c r="L963" t="n">
        <v>0</v>
      </c>
      <c r="M963" t="n">
        <v>0</v>
      </c>
      <c r="N963" t="n">
        <v>0</v>
      </c>
      <c r="O963" t="n">
        <v>0</v>
      </c>
      <c r="P963" t="n">
        <v>0</v>
      </c>
      <c r="Q963" t="n">
        <v>0</v>
      </c>
      <c r="R963" s="2" t="inlineStr"/>
    </row>
    <row r="964" ht="15" customHeight="1">
      <c r="A964" t="inlineStr">
        <is>
          <t>A 71637-2021</t>
        </is>
      </c>
      <c r="B964" s="1" t="n">
        <v>44543.32719907408</v>
      </c>
      <c r="C964" s="1" t="n">
        <v>45962</v>
      </c>
      <c r="D964" t="inlineStr">
        <is>
          <t>SKÅNE LÄN</t>
        </is>
      </c>
      <c r="E964" t="inlineStr">
        <is>
          <t>ÖRKELLJUNGA</t>
        </is>
      </c>
      <c r="G964" t="n">
        <v>0.9</v>
      </c>
      <c r="H964" t="n">
        <v>0</v>
      </c>
      <c r="I964" t="n">
        <v>0</v>
      </c>
      <c r="J964" t="n">
        <v>0</v>
      </c>
      <c r="K964" t="n">
        <v>0</v>
      </c>
      <c r="L964" t="n">
        <v>0</v>
      </c>
      <c r="M964" t="n">
        <v>0</v>
      </c>
      <c r="N964" t="n">
        <v>0</v>
      </c>
      <c r="O964" t="n">
        <v>0</v>
      </c>
      <c r="P964" t="n">
        <v>0</v>
      </c>
      <c r="Q964" t="n">
        <v>0</v>
      </c>
      <c r="R964" s="2" t="inlineStr"/>
    </row>
    <row r="965" ht="15" customHeight="1">
      <c r="A965" t="inlineStr">
        <is>
          <t>A 66449-2021</t>
        </is>
      </c>
      <c r="B965" s="1" t="n">
        <v>44518.83491898148</v>
      </c>
      <c r="C965" s="1" t="n">
        <v>45962</v>
      </c>
      <c r="D965" t="inlineStr">
        <is>
          <t>SKÅNE LÄN</t>
        </is>
      </c>
      <c r="E965" t="inlineStr">
        <is>
          <t>KRISTIANSTAD</t>
        </is>
      </c>
      <c r="G965" t="n">
        <v>0.5</v>
      </c>
      <c r="H965" t="n">
        <v>0</v>
      </c>
      <c r="I965" t="n">
        <v>0</v>
      </c>
      <c r="J965" t="n">
        <v>0</v>
      </c>
      <c r="K965" t="n">
        <v>0</v>
      </c>
      <c r="L965" t="n">
        <v>0</v>
      </c>
      <c r="M965" t="n">
        <v>0</v>
      </c>
      <c r="N965" t="n">
        <v>0</v>
      </c>
      <c r="O965" t="n">
        <v>0</v>
      </c>
      <c r="P965" t="n">
        <v>0</v>
      </c>
      <c r="Q965" t="n">
        <v>0</v>
      </c>
      <c r="R965" s="2" t="inlineStr"/>
    </row>
    <row r="966" ht="15" customHeight="1">
      <c r="A966" t="inlineStr">
        <is>
          <t>A 19581-2021</t>
        </is>
      </c>
      <c r="B966" s="1" t="n">
        <v>44312.55366898148</v>
      </c>
      <c r="C966" s="1" t="n">
        <v>45962</v>
      </c>
      <c r="D966" t="inlineStr">
        <is>
          <t>SKÅNE LÄN</t>
        </is>
      </c>
      <c r="E966" t="inlineStr">
        <is>
          <t>HÖRBY</t>
        </is>
      </c>
      <c r="G966" t="n">
        <v>1.1</v>
      </c>
      <c r="H966" t="n">
        <v>0</v>
      </c>
      <c r="I966" t="n">
        <v>0</v>
      </c>
      <c r="J966" t="n">
        <v>0</v>
      </c>
      <c r="K966" t="n">
        <v>0</v>
      </c>
      <c r="L966" t="n">
        <v>0</v>
      </c>
      <c r="M966" t="n">
        <v>0</v>
      </c>
      <c r="N966" t="n">
        <v>0</v>
      </c>
      <c r="O966" t="n">
        <v>0</v>
      </c>
      <c r="P966" t="n">
        <v>0</v>
      </c>
      <c r="Q966" t="n">
        <v>0</v>
      </c>
      <c r="R966" s="2" t="inlineStr"/>
    </row>
    <row r="967" ht="15" customHeight="1">
      <c r="A967" t="inlineStr">
        <is>
          <t>A 41268-2022</t>
        </is>
      </c>
      <c r="B967" s="1" t="n">
        <v>44825</v>
      </c>
      <c r="C967" s="1" t="n">
        <v>45962</v>
      </c>
      <c r="D967" t="inlineStr">
        <is>
          <t>SKÅNE LÄN</t>
        </is>
      </c>
      <c r="E967" t="inlineStr">
        <is>
          <t>KLIPPAN</t>
        </is>
      </c>
      <c r="F967" t="inlineStr">
        <is>
          <t>Övriga Aktiebolag</t>
        </is>
      </c>
      <c r="G967" t="n">
        <v>2</v>
      </c>
      <c r="H967" t="n">
        <v>0</v>
      </c>
      <c r="I967" t="n">
        <v>0</v>
      </c>
      <c r="J967" t="n">
        <v>0</v>
      </c>
      <c r="K967" t="n">
        <v>0</v>
      </c>
      <c r="L967" t="n">
        <v>0</v>
      </c>
      <c r="M967" t="n">
        <v>0</v>
      </c>
      <c r="N967" t="n">
        <v>0</v>
      </c>
      <c r="O967" t="n">
        <v>0</v>
      </c>
      <c r="P967" t="n">
        <v>0</v>
      </c>
      <c r="Q967" t="n">
        <v>0</v>
      </c>
      <c r="R967" s="2" t="inlineStr"/>
    </row>
    <row r="968" ht="15" customHeight="1">
      <c r="A968" t="inlineStr">
        <is>
          <t>A 1127-2021</t>
        </is>
      </c>
      <c r="B968" s="1" t="n">
        <v>44207</v>
      </c>
      <c r="C968" s="1" t="n">
        <v>45962</v>
      </c>
      <c r="D968" t="inlineStr">
        <is>
          <t>SKÅNE LÄN</t>
        </is>
      </c>
      <c r="E968" t="inlineStr">
        <is>
          <t>ÖRKELLJUNGA</t>
        </is>
      </c>
      <c r="G968" t="n">
        <v>4.8</v>
      </c>
      <c r="H968" t="n">
        <v>0</v>
      </c>
      <c r="I968" t="n">
        <v>0</v>
      </c>
      <c r="J968" t="n">
        <v>0</v>
      </c>
      <c r="K968" t="n">
        <v>0</v>
      </c>
      <c r="L968" t="n">
        <v>0</v>
      </c>
      <c r="M968" t="n">
        <v>0</v>
      </c>
      <c r="N968" t="n">
        <v>0</v>
      </c>
      <c r="O968" t="n">
        <v>0</v>
      </c>
      <c r="P968" t="n">
        <v>0</v>
      </c>
      <c r="Q968" t="n">
        <v>0</v>
      </c>
      <c r="R968" s="2" t="inlineStr"/>
    </row>
    <row r="969" ht="15" customHeight="1">
      <c r="A969" t="inlineStr">
        <is>
          <t>A 5941-2022</t>
        </is>
      </c>
      <c r="B969" s="1" t="n">
        <v>44598.91083333334</v>
      </c>
      <c r="C969" s="1" t="n">
        <v>45962</v>
      </c>
      <c r="D969" t="inlineStr">
        <is>
          <t>SKÅNE LÄN</t>
        </is>
      </c>
      <c r="E969" t="inlineStr">
        <is>
          <t>ÖSTRA GÖINGE</t>
        </is>
      </c>
      <c r="G969" t="n">
        <v>0.7</v>
      </c>
      <c r="H969" t="n">
        <v>0</v>
      </c>
      <c r="I969" t="n">
        <v>0</v>
      </c>
      <c r="J969" t="n">
        <v>0</v>
      </c>
      <c r="K969" t="n">
        <v>0</v>
      </c>
      <c r="L969" t="n">
        <v>0</v>
      </c>
      <c r="M969" t="n">
        <v>0</v>
      </c>
      <c r="N969" t="n">
        <v>0</v>
      </c>
      <c r="O969" t="n">
        <v>0</v>
      </c>
      <c r="P969" t="n">
        <v>0</v>
      </c>
      <c r="Q969" t="n">
        <v>0</v>
      </c>
      <c r="R969" s="2" t="inlineStr"/>
    </row>
    <row r="970" ht="15" customHeight="1">
      <c r="A970" t="inlineStr">
        <is>
          <t>A 63681-2021</t>
        </is>
      </c>
      <c r="B970" s="1" t="n">
        <v>44509</v>
      </c>
      <c r="C970" s="1" t="n">
        <v>45962</v>
      </c>
      <c r="D970" t="inlineStr">
        <is>
          <t>SKÅNE LÄN</t>
        </is>
      </c>
      <c r="E970" t="inlineStr">
        <is>
          <t>BROMÖLLA</t>
        </is>
      </c>
      <c r="G970" t="n">
        <v>3.2</v>
      </c>
      <c r="H970" t="n">
        <v>0</v>
      </c>
      <c r="I970" t="n">
        <v>0</v>
      </c>
      <c r="J970" t="n">
        <v>0</v>
      </c>
      <c r="K970" t="n">
        <v>0</v>
      </c>
      <c r="L970" t="n">
        <v>0</v>
      </c>
      <c r="M970" t="n">
        <v>0</v>
      </c>
      <c r="N970" t="n">
        <v>0</v>
      </c>
      <c r="O970" t="n">
        <v>0</v>
      </c>
      <c r="P970" t="n">
        <v>0</v>
      </c>
      <c r="Q970" t="n">
        <v>0</v>
      </c>
      <c r="R970" s="2" t="inlineStr"/>
    </row>
    <row r="971" ht="15" customHeight="1">
      <c r="A971" t="inlineStr">
        <is>
          <t>A 56431-2021</t>
        </is>
      </c>
      <c r="B971" s="1" t="n">
        <v>44480</v>
      </c>
      <c r="C971" s="1" t="n">
        <v>45962</v>
      </c>
      <c r="D971" t="inlineStr">
        <is>
          <t>SKÅNE LÄN</t>
        </is>
      </c>
      <c r="E971" t="inlineStr">
        <is>
          <t>HÄSSLEHOLM</t>
        </is>
      </c>
      <c r="F971" t="inlineStr">
        <is>
          <t>Kyrkan</t>
        </is>
      </c>
      <c r="G971" t="n">
        <v>0.9</v>
      </c>
      <c r="H971" t="n">
        <v>0</v>
      </c>
      <c r="I971" t="n">
        <v>0</v>
      </c>
      <c r="J971" t="n">
        <v>0</v>
      </c>
      <c r="K971" t="n">
        <v>0</v>
      </c>
      <c r="L971" t="n">
        <v>0</v>
      </c>
      <c r="M971" t="n">
        <v>0</v>
      </c>
      <c r="N971" t="n">
        <v>0</v>
      </c>
      <c r="O971" t="n">
        <v>0</v>
      </c>
      <c r="P971" t="n">
        <v>0</v>
      </c>
      <c r="Q971" t="n">
        <v>0</v>
      </c>
      <c r="R971" s="2" t="inlineStr"/>
    </row>
    <row r="972" ht="15" customHeight="1">
      <c r="A972" t="inlineStr">
        <is>
          <t>A 20634-2022</t>
        </is>
      </c>
      <c r="B972" s="1" t="n">
        <v>44700.57378472222</v>
      </c>
      <c r="C972" s="1" t="n">
        <v>45962</v>
      </c>
      <c r="D972" t="inlineStr">
        <is>
          <t>SKÅNE LÄN</t>
        </is>
      </c>
      <c r="E972" t="inlineStr">
        <is>
          <t>OSBY</t>
        </is>
      </c>
      <c r="G972" t="n">
        <v>1.5</v>
      </c>
      <c r="H972" t="n">
        <v>0</v>
      </c>
      <c r="I972" t="n">
        <v>0</v>
      </c>
      <c r="J972" t="n">
        <v>0</v>
      </c>
      <c r="K972" t="n">
        <v>0</v>
      </c>
      <c r="L972" t="n">
        <v>0</v>
      </c>
      <c r="M972" t="n">
        <v>0</v>
      </c>
      <c r="N972" t="n">
        <v>0</v>
      </c>
      <c r="O972" t="n">
        <v>0</v>
      </c>
      <c r="P972" t="n">
        <v>0</v>
      </c>
      <c r="Q972" t="n">
        <v>0</v>
      </c>
      <c r="R972" s="2" t="inlineStr"/>
    </row>
    <row r="973" ht="15" customHeight="1">
      <c r="A973" t="inlineStr">
        <is>
          <t>A 25955-2022</t>
        </is>
      </c>
      <c r="B973" s="1" t="n">
        <v>44734</v>
      </c>
      <c r="C973" s="1" t="n">
        <v>45962</v>
      </c>
      <c r="D973" t="inlineStr">
        <is>
          <t>SKÅNE LÄN</t>
        </is>
      </c>
      <c r="E973" t="inlineStr">
        <is>
          <t>HÄSSLEHOLM</t>
        </is>
      </c>
      <c r="G973" t="n">
        <v>0.5</v>
      </c>
      <c r="H973" t="n">
        <v>0</v>
      </c>
      <c r="I973" t="n">
        <v>0</v>
      </c>
      <c r="J973" t="n">
        <v>0</v>
      </c>
      <c r="K973" t="n">
        <v>0</v>
      </c>
      <c r="L973" t="n">
        <v>0</v>
      </c>
      <c r="M973" t="n">
        <v>0</v>
      </c>
      <c r="N973" t="n">
        <v>0</v>
      </c>
      <c r="O973" t="n">
        <v>0</v>
      </c>
      <c r="P973" t="n">
        <v>0</v>
      </c>
      <c r="Q973" t="n">
        <v>0</v>
      </c>
      <c r="R973" s="2" t="inlineStr"/>
    </row>
    <row r="974" ht="15" customHeight="1">
      <c r="A974" t="inlineStr">
        <is>
          <t>A 62648-2020</t>
        </is>
      </c>
      <c r="B974" s="1" t="n">
        <v>44161</v>
      </c>
      <c r="C974" s="1" t="n">
        <v>45962</v>
      </c>
      <c r="D974" t="inlineStr">
        <is>
          <t>SKÅNE LÄN</t>
        </is>
      </c>
      <c r="E974" t="inlineStr">
        <is>
          <t>OSBY</t>
        </is>
      </c>
      <c r="G974" t="n">
        <v>2.5</v>
      </c>
      <c r="H974" t="n">
        <v>0</v>
      </c>
      <c r="I974" t="n">
        <v>0</v>
      </c>
      <c r="J974" t="n">
        <v>0</v>
      </c>
      <c r="K974" t="n">
        <v>0</v>
      </c>
      <c r="L974" t="n">
        <v>0</v>
      </c>
      <c r="M974" t="n">
        <v>0</v>
      </c>
      <c r="N974" t="n">
        <v>0</v>
      </c>
      <c r="O974" t="n">
        <v>0</v>
      </c>
      <c r="P974" t="n">
        <v>0</v>
      </c>
      <c r="Q974" t="n">
        <v>0</v>
      </c>
      <c r="R974" s="2" t="inlineStr"/>
    </row>
    <row r="975" ht="15" customHeight="1">
      <c r="A975" t="inlineStr">
        <is>
          <t>A 55415-2022</t>
        </is>
      </c>
      <c r="B975" s="1" t="n">
        <v>44882</v>
      </c>
      <c r="C975" s="1" t="n">
        <v>45962</v>
      </c>
      <c r="D975" t="inlineStr">
        <is>
          <t>SKÅNE LÄN</t>
        </is>
      </c>
      <c r="E975" t="inlineStr">
        <is>
          <t>KLIPPAN</t>
        </is>
      </c>
      <c r="F975" t="inlineStr">
        <is>
          <t>Övriga Aktiebolag</t>
        </is>
      </c>
      <c r="G975" t="n">
        <v>0.6</v>
      </c>
      <c r="H975" t="n">
        <v>0</v>
      </c>
      <c r="I975" t="n">
        <v>0</v>
      </c>
      <c r="J975" t="n">
        <v>0</v>
      </c>
      <c r="K975" t="n">
        <v>0</v>
      </c>
      <c r="L975" t="n">
        <v>0</v>
      </c>
      <c r="M975" t="n">
        <v>0</v>
      </c>
      <c r="N975" t="n">
        <v>0</v>
      </c>
      <c r="O975" t="n">
        <v>0</v>
      </c>
      <c r="P975" t="n">
        <v>0</v>
      </c>
      <c r="Q975" t="n">
        <v>0</v>
      </c>
      <c r="R975" s="2" t="inlineStr"/>
    </row>
    <row r="976" ht="15" customHeight="1">
      <c r="A976" t="inlineStr">
        <is>
          <t>A 38556-2022</t>
        </is>
      </c>
      <c r="B976" s="1" t="n">
        <v>44813</v>
      </c>
      <c r="C976" s="1" t="n">
        <v>45962</v>
      </c>
      <c r="D976" t="inlineStr">
        <is>
          <t>SKÅNE LÄN</t>
        </is>
      </c>
      <c r="E976" t="inlineStr">
        <is>
          <t>ÖRKELLJUNGA</t>
        </is>
      </c>
      <c r="G976" t="n">
        <v>4</v>
      </c>
      <c r="H976" t="n">
        <v>0</v>
      </c>
      <c r="I976" t="n">
        <v>0</v>
      </c>
      <c r="J976" t="n">
        <v>0</v>
      </c>
      <c r="K976" t="n">
        <v>0</v>
      </c>
      <c r="L976" t="n">
        <v>0</v>
      </c>
      <c r="M976" t="n">
        <v>0</v>
      </c>
      <c r="N976" t="n">
        <v>0</v>
      </c>
      <c r="O976" t="n">
        <v>0</v>
      </c>
      <c r="P976" t="n">
        <v>0</v>
      </c>
      <c r="Q976" t="n">
        <v>0</v>
      </c>
      <c r="R976" s="2" t="inlineStr"/>
    </row>
    <row r="977" ht="15" customHeight="1">
      <c r="A977" t="inlineStr">
        <is>
          <t>A 10970-2022</t>
        </is>
      </c>
      <c r="B977" s="1" t="n">
        <v>44628</v>
      </c>
      <c r="C977" s="1" t="n">
        <v>45962</v>
      </c>
      <c r="D977" t="inlineStr">
        <is>
          <t>SKÅNE LÄN</t>
        </is>
      </c>
      <c r="E977" t="inlineStr">
        <is>
          <t>KRISTIANSTAD</t>
        </is>
      </c>
      <c r="G977" t="n">
        <v>1.5</v>
      </c>
      <c r="H977" t="n">
        <v>0</v>
      </c>
      <c r="I977" t="n">
        <v>0</v>
      </c>
      <c r="J977" t="n">
        <v>0</v>
      </c>
      <c r="K977" t="n">
        <v>0</v>
      </c>
      <c r="L977" t="n">
        <v>0</v>
      </c>
      <c r="M977" t="n">
        <v>0</v>
      </c>
      <c r="N977" t="n">
        <v>0</v>
      </c>
      <c r="O977" t="n">
        <v>0</v>
      </c>
      <c r="P977" t="n">
        <v>0</v>
      </c>
      <c r="Q977" t="n">
        <v>0</v>
      </c>
      <c r="R977" s="2" t="inlineStr"/>
    </row>
    <row r="978" ht="15" customHeight="1">
      <c r="A978" t="inlineStr">
        <is>
          <t>A 2784-2021</t>
        </is>
      </c>
      <c r="B978" s="1" t="n">
        <v>44215</v>
      </c>
      <c r="C978" s="1" t="n">
        <v>45962</v>
      </c>
      <c r="D978" t="inlineStr">
        <is>
          <t>SKÅNE LÄN</t>
        </is>
      </c>
      <c r="E978" t="inlineStr">
        <is>
          <t>ÖRKELLJUNGA</t>
        </is>
      </c>
      <c r="G978" t="n">
        <v>1.4</v>
      </c>
      <c r="H978" t="n">
        <v>0</v>
      </c>
      <c r="I978" t="n">
        <v>0</v>
      </c>
      <c r="J978" t="n">
        <v>0</v>
      </c>
      <c r="K978" t="n">
        <v>0</v>
      </c>
      <c r="L978" t="n">
        <v>0</v>
      </c>
      <c r="M978" t="n">
        <v>0</v>
      </c>
      <c r="N978" t="n">
        <v>0</v>
      </c>
      <c r="O978" t="n">
        <v>0</v>
      </c>
      <c r="P978" t="n">
        <v>0</v>
      </c>
      <c r="Q978" t="n">
        <v>0</v>
      </c>
      <c r="R978" s="2" t="inlineStr"/>
    </row>
    <row r="979" ht="15" customHeight="1">
      <c r="A979" t="inlineStr">
        <is>
          <t>A 62802-2020</t>
        </is>
      </c>
      <c r="B979" s="1" t="n">
        <v>44161</v>
      </c>
      <c r="C979" s="1" t="n">
        <v>45962</v>
      </c>
      <c r="D979" t="inlineStr">
        <is>
          <t>SKÅNE LÄN</t>
        </is>
      </c>
      <c r="E979" t="inlineStr">
        <is>
          <t>HÄSSLEHOLM</t>
        </is>
      </c>
      <c r="G979" t="n">
        <v>1.1</v>
      </c>
      <c r="H979" t="n">
        <v>0</v>
      </c>
      <c r="I979" t="n">
        <v>0</v>
      </c>
      <c r="J979" t="n">
        <v>0</v>
      </c>
      <c r="K979" t="n">
        <v>0</v>
      </c>
      <c r="L979" t="n">
        <v>0</v>
      </c>
      <c r="M979" t="n">
        <v>0</v>
      </c>
      <c r="N979" t="n">
        <v>0</v>
      </c>
      <c r="O979" t="n">
        <v>0</v>
      </c>
      <c r="P979" t="n">
        <v>0</v>
      </c>
      <c r="Q979" t="n">
        <v>0</v>
      </c>
      <c r="R979" s="2" t="inlineStr"/>
    </row>
    <row r="980" ht="15" customHeight="1">
      <c r="A980" t="inlineStr">
        <is>
          <t>A 9655-2022</t>
        </is>
      </c>
      <c r="B980" s="1" t="n">
        <v>44617</v>
      </c>
      <c r="C980" s="1" t="n">
        <v>45962</v>
      </c>
      <c r="D980" t="inlineStr">
        <is>
          <t>SKÅNE LÄN</t>
        </is>
      </c>
      <c r="E980" t="inlineStr">
        <is>
          <t>YSTAD</t>
        </is>
      </c>
      <c r="G980" t="n">
        <v>2.4</v>
      </c>
      <c r="H980" t="n">
        <v>0</v>
      </c>
      <c r="I980" t="n">
        <v>0</v>
      </c>
      <c r="J980" t="n">
        <v>0</v>
      </c>
      <c r="K980" t="n">
        <v>0</v>
      </c>
      <c r="L980" t="n">
        <v>0</v>
      </c>
      <c r="M980" t="n">
        <v>0</v>
      </c>
      <c r="N980" t="n">
        <v>0</v>
      </c>
      <c r="O980" t="n">
        <v>0</v>
      </c>
      <c r="P980" t="n">
        <v>0</v>
      </c>
      <c r="Q980" t="n">
        <v>0</v>
      </c>
      <c r="R980" s="2" t="inlineStr"/>
    </row>
    <row r="981" ht="15" customHeight="1">
      <c r="A981" t="inlineStr">
        <is>
          <t>A 59341-2020</t>
        </is>
      </c>
      <c r="B981" s="1" t="n">
        <v>44148</v>
      </c>
      <c r="C981" s="1" t="n">
        <v>45962</v>
      </c>
      <c r="D981" t="inlineStr">
        <is>
          <t>SKÅNE LÄN</t>
        </is>
      </c>
      <c r="E981" t="inlineStr">
        <is>
          <t>ÖRKELLJUNGA</t>
        </is>
      </c>
      <c r="G981" t="n">
        <v>4.3</v>
      </c>
      <c r="H981" t="n">
        <v>0</v>
      </c>
      <c r="I981" t="n">
        <v>0</v>
      </c>
      <c r="J981" t="n">
        <v>0</v>
      </c>
      <c r="K981" t="n">
        <v>0</v>
      </c>
      <c r="L981" t="n">
        <v>0</v>
      </c>
      <c r="M981" t="n">
        <v>0</v>
      </c>
      <c r="N981" t="n">
        <v>0</v>
      </c>
      <c r="O981" t="n">
        <v>0</v>
      </c>
      <c r="P981" t="n">
        <v>0</v>
      </c>
      <c r="Q981" t="n">
        <v>0</v>
      </c>
      <c r="R981" s="2" t="inlineStr"/>
    </row>
    <row r="982" ht="15" customHeight="1">
      <c r="A982" t="inlineStr">
        <is>
          <t>A 43856-2021</t>
        </is>
      </c>
      <c r="B982" s="1" t="n">
        <v>44434</v>
      </c>
      <c r="C982" s="1" t="n">
        <v>45962</v>
      </c>
      <c r="D982" t="inlineStr">
        <is>
          <t>SKÅNE LÄN</t>
        </is>
      </c>
      <c r="E982" t="inlineStr">
        <is>
          <t>OSBY</t>
        </is>
      </c>
      <c r="G982" t="n">
        <v>1.7</v>
      </c>
      <c r="H982" t="n">
        <v>0</v>
      </c>
      <c r="I982" t="n">
        <v>0</v>
      </c>
      <c r="J982" t="n">
        <v>0</v>
      </c>
      <c r="K982" t="n">
        <v>0</v>
      </c>
      <c r="L982" t="n">
        <v>0</v>
      </c>
      <c r="M982" t="n">
        <v>0</v>
      </c>
      <c r="N982" t="n">
        <v>0</v>
      </c>
      <c r="O982" t="n">
        <v>0</v>
      </c>
      <c r="P982" t="n">
        <v>0</v>
      </c>
      <c r="Q982" t="n">
        <v>0</v>
      </c>
      <c r="R982" s="2" t="inlineStr"/>
    </row>
    <row r="983" ht="15" customHeight="1">
      <c r="A983" t="inlineStr">
        <is>
          <t>A 20657-2022</t>
        </is>
      </c>
      <c r="B983" s="1" t="n">
        <v>44700</v>
      </c>
      <c r="C983" s="1" t="n">
        <v>45962</v>
      </c>
      <c r="D983" t="inlineStr">
        <is>
          <t>SKÅNE LÄN</t>
        </is>
      </c>
      <c r="E983" t="inlineStr">
        <is>
          <t>HÄSSLEHOLM</t>
        </is>
      </c>
      <c r="G983" t="n">
        <v>3.8</v>
      </c>
      <c r="H983" t="n">
        <v>0</v>
      </c>
      <c r="I983" t="n">
        <v>0</v>
      </c>
      <c r="J983" t="n">
        <v>0</v>
      </c>
      <c r="K983" t="n">
        <v>0</v>
      </c>
      <c r="L983" t="n">
        <v>0</v>
      </c>
      <c r="M983" t="n">
        <v>0</v>
      </c>
      <c r="N983" t="n">
        <v>0</v>
      </c>
      <c r="O983" t="n">
        <v>0</v>
      </c>
      <c r="P983" t="n">
        <v>0</v>
      </c>
      <c r="Q983" t="n">
        <v>0</v>
      </c>
      <c r="R983" s="2" t="inlineStr"/>
    </row>
    <row r="984" ht="15" customHeight="1">
      <c r="A984" t="inlineStr">
        <is>
          <t>A 23461-2022</t>
        </is>
      </c>
      <c r="B984" s="1" t="n">
        <v>44721</v>
      </c>
      <c r="C984" s="1" t="n">
        <v>45962</v>
      </c>
      <c r="D984" t="inlineStr">
        <is>
          <t>SKÅNE LÄN</t>
        </is>
      </c>
      <c r="E984" t="inlineStr">
        <is>
          <t>TOMELILLA</t>
        </is>
      </c>
      <c r="F984" t="inlineStr">
        <is>
          <t>Övriga Aktiebolag</t>
        </is>
      </c>
      <c r="G984" t="n">
        <v>3.5</v>
      </c>
      <c r="H984" t="n">
        <v>0</v>
      </c>
      <c r="I984" t="n">
        <v>0</v>
      </c>
      <c r="J984" t="n">
        <v>0</v>
      </c>
      <c r="K984" t="n">
        <v>0</v>
      </c>
      <c r="L984" t="n">
        <v>0</v>
      </c>
      <c r="M984" t="n">
        <v>0</v>
      </c>
      <c r="N984" t="n">
        <v>0</v>
      </c>
      <c r="O984" t="n">
        <v>0</v>
      </c>
      <c r="P984" t="n">
        <v>0</v>
      </c>
      <c r="Q984" t="n">
        <v>0</v>
      </c>
      <c r="R984" s="2" t="inlineStr"/>
    </row>
    <row r="985" ht="15" customHeight="1">
      <c r="A985" t="inlineStr">
        <is>
          <t>A 3592-2021</t>
        </is>
      </c>
      <c r="B985" s="1" t="n">
        <v>44220</v>
      </c>
      <c r="C985" s="1" t="n">
        <v>45962</v>
      </c>
      <c r="D985" t="inlineStr">
        <is>
          <t>SKÅNE LÄN</t>
        </is>
      </c>
      <c r="E985" t="inlineStr">
        <is>
          <t>SVALÖV</t>
        </is>
      </c>
      <c r="G985" t="n">
        <v>1.9</v>
      </c>
      <c r="H985" t="n">
        <v>0</v>
      </c>
      <c r="I985" t="n">
        <v>0</v>
      </c>
      <c r="J985" t="n">
        <v>0</v>
      </c>
      <c r="K985" t="n">
        <v>0</v>
      </c>
      <c r="L985" t="n">
        <v>0</v>
      </c>
      <c r="M985" t="n">
        <v>0</v>
      </c>
      <c r="N985" t="n">
        <v>0</v>
      </c>
      <c r="O985" t="n">
        <v>0</v>
      </c>
      <c r="P985" t="n">
        <v>0</v>
      </c>
      <c r="Q985" t="n">
        <v>0</v>
      </c>
      <c r="R985" s="2" t="inlineStr"/>
    </row>
    <row r="986" ht="15" customHeight="1">
      <c r="A986" t="inlineStr">
        <is>
          <t>A 7904-2022</t>
        </is>
      </c>
      <c r="B986" s="1" t="n">
        <v>44607</v>
      </c>
      <c r="C986" s="1" t="n">
        <v>45962</v>
      </c>
      <c r="D986" t="inlineStr">
        <is>
          <t>SKÅNE LÄN</t>
        </is>
      </c>
      <c r="E986" t="inlineStr">
        <is>
          <t>HÄSSLEHOLM</t>
        </is>
      </c>
      <c r="F986" t="inlineStr">
        <is>
          <t>Kyrkan</t>
        </is>
      </c>
      <c r="G986" t="n">
        <v>3.9</v>
      </c>
      <c r="H986" t="n">
        <v>0</v>
      </c>
      <c r="I986" t="n">
        <v>0</v>
      </c>
      <c r="J986" t="n">
        <v>0</v>
      </c>
      <c r="K986" t="n">
        <v>0</v>
      </c>
      <c r="L986" t="n">
        <v>0</v>
      </c>
      <c r="M986" t="n">
        <v>0</v>
      </c>
      <c r="N986" t="n">
        <v>0</v>
      </c>
      <c r="O986" t="n">
        <v>0</v>
      </c>
      <c r="P986" t="n">
        <v>0</v>
      </c>
      <c r="Q986" t="n">
        <v>0</v>
      </c>
      <c r="R986" s="2" t="inlineStr"/>
    </row>
    <row r="987" ht="15" customHeight="1">
      <c r="A987" t="inlineStr">
        <is>
          <t>A 3593-2021</t>
        </is>
      </c>
      <c r="B987" s="1" t="n">
        <v>44220</v>
      </c>
      <c r="C987" s="1" t="n">
        <v>45962</v>
      </c>
      <c r="D987" t="inlineStr">
        <is>
          <t>SKÅNE LÄN</t>
        </is>
      </c>
      <c r="E987" t="inlineStr">
        <is>
          <t>SVALÖV</t>
        </is>
      </c>
      <c r="G987" t="n">
        <v>0.3</v>
      </c>
      <c r="H987" t="n">
        <v>0</v>
      </c>
      <c r="I987" t="n">
        <v>0</v>
      </c>
      <c r="J987" t="n">
        <v>0</v>
      </c>
      <c r="K987" t="n">
        <v>0</v>
      </c>
      <c r="L987" t="n">
        <v>0</v>
      </c>
      <c r="M987" t="n">
        <v>0</v>
      </c>
      <c r="N987" t="n">
        <v>0</v>
      </c>
      <c r="O987" t="n">
        <v>0</v>
      </c>
      <c r="P987" t="n">
        <v>0</v>
      </c>
      <c r="Q987" t="n">
        <v>0</v>
      </c>
      <c r="R987" s="2" t="inlineStr"/>
    </row>
    <row r="988" ht="15" customHeight="1">
      <c r="A988" t="inlineStr">
        <is>
          <t>A 21417-2022</t>
        </is>
      </c>
      <c r="B988" s="1" t="n">
        <v>44706</v>
      </c>
      <c r="C988" s="1" t="n">
        <v>45962</v>
      </c>
      <c r="D988" t="inlineStr">
        <is>
          <t>SKÅNE LÄN</t>
        </is>
      </c>
      <c r="E988" t="inlineStr">
        <is>
          <t>KRISTIANSTAD</t>
        </is>
      </c>
      <c r="G988" t="n">
        <v>5.5</v>
      </c>
      <c r="H988" t="n">
        <v>0</v>
      </c>
      <c r="I988" t="n">
        <v>0</v>
      </c>
      <c r="J988" t="n">
        <v>0</v>
      </c>
      <c r="K988" t="n">
        <v>0</v>
      </c>
      <c r="L988" t="n">
        <v>0</v>
      </c>
      <c r="M988" t="n">
        <v>0</v>
      </c>
      <c r="N988" t="n">
        <v>0</v>
      </c>
      <c r="O988" t="n">
        <v>0</v>
      </c>
      <c r="P988" t="n">
        <v>0</v>
      </c>
      <c r="Q988" t="n">
        <v>0</v>
      </c>
      <c r="R988" s="2" t="inlineStr"/>
    </row>
    <row r="989" ht="15" customHeight="1">
      <c r="A989" t="inlineStr">
        <is>
          <t>A 52567-2021</t>
        </is>
      </c>
      <c r="B989" s="1" t="n">
        <v>44466</v>
      </c>
      <c r="C989" s="1" t="n">
        <v>45962</v>
      </c>
      <c r="D989" t="inlineStr">
        <is>
          <t>SKÅNE LÄN</t>
        </is>
      </c>
      <c r="E989" t="inlineStr">
        <is>
          <t>HÄSSLEHOLM</t>
        </is>
      </c>
      <c r="G989" t="n">
        <v>0.6</v>
      </c>
      <c r="H989" t="n">
        <v>0</v>
      </c>
      <c r="I989" t="n">
        <v>0</v>
      </c>
      <c r="J989" t="n">
        <v>0</v>
      </c>
      <c r="K989" t="n">
        <v>0</v>
      </c>
      <c r="L989" t="n">
        <v>0</v>
      </c>
      <c r="M989" t="n">
        <v>0</v>
      </c>
      <c r="N989" t="n">
        <v>0</v>
      </c>
      <c r="O989" t="n">
        <v>0</v>
      </c>
      <c r="P989" t="n">
        <v>0</v>
      </c>
      <c r="Q989" t="n">
        <v>0</v>
      </c>
      <c r="R989" s="2" t="inlineStr"/>
    </row>
    <row r="990" ht="15" customHeight="1">
      <c r="A990" t="inlineStr">
        <is>
          <t>A 5726-2022</t>
        </is>
      </c>
      <c r="B990" s="1" t="n">
        <v>44596</v>
      </c>
      <c r="C990" s="1" t="n">
        <v>45962</v>
      </c>
      <c r="D990" t="inlineStr">
        <is>
          <t>SKÅNE LÄN</t>
        </is>
      </c>
      <c r="E990" t="inlineStr">
        <is>
          <t>HÖÖR</t>
        </is>
      </c>
      <c r="G990" t="n">
        <v>1.5</v>
      </c>
      <c r="H990" t="n">
        <v>0</v>
      </c>
      <c r="I990" t="n">
        <v>0</v>
      </c>
      <c r="J990" t="n">
        <v>0</v>
      </c>
      <c r="K990" t="n">
        <v>0</v>
      </c>
      <c r="L990" t="n">
        <v>0</v>
      </c>
      <c r="M990" t="n">
        <v>0</v>
      </c>
      <c r="N990" t="n">
        <v>0</v>
      </c>
      <c r="O990" t="n">
        <v>0</v>
      </c>
      <c r="P990" t="n">
        <v>0</v>
      </c>
      <c r="Q990" t="n">
        <v>0</v>
      </c>
      <c r="R990" s="2" t="inlineStr"/>
    </row>
    <row r="991" ht="15" customHeight="1">
      <c r="A991" t="inlineStr">
        <is>
          <t>A 44498-2021</t>
        </is>
      </c>
      <c r="B991" s="1" t="n">
        <v>44435</v>
      </c>
      <c r="C991" s="1" t="n">
        <v>45962</v>
      </c>
      <c r="D991" t="inlineStr">
        <is>
          <t>SKÅNE LÄN</t>
        </is>
      </c>
      <c r="E991" t="inlineStr">
        <is>
          <t>SJÖBO</t>
        </is>
      </c>
      <c r="G991" t="n">
        <v>2.7</v>
      </c>
      <c r="H991" t="n">
        <v>0</v>
      </c>
      <c r="I991" t="n">
        <v>0</v>
      </c>
      <c r="J991" t="n">
        <v>0</v>
      </c>
      <c r="K991" t="n">
        <v>0</v>
      </c>
      <c r="L991" t="n">
        <v>0</v>
      </c>
      <c r="M991" t="n">
        <v>0</v>
      </c>
      <c r="N991" t="n">
        <v>0</v>
      </c>
      <c r="O991" t="n">
        <v>0</v>
      </c>
      <c r="P991" t="n">
        <v>0</v>
      </c>
      <c r="Q991" t="n">
        <v>0</v>
      </c>
      <c r="R991" s="2" t="inlineStr"/>
    </row>
    <row r="992" ht="15" customHeight="1">
      <c r="A992" t="inlineStr">
        <is>
          <t>A 41725-2022</t>
        </is>
      </c>
      <c r="B992" s="1" t="n">
        <v>44827</v>
      </c>
      <c r="C992" s="1" t="n">
        <v>45962</v>
      </c>
      <c r="D992" t="inlineStr">
        <is>
          <t>SKÅNE LÄN</t>
        </is>
      </c>
      <c r="E992" t="inlineStr">
        <is>
          <t>ÄNGELHOLM</t>
        </is>
      </c>
      <c r="G992" t="n">
        <v>0.2</v>
      </c>
      <c r="H992" t="n">
        <v>0</v>
      </c>
      <c r="I992" t="n">
        <v>0</v>
      </c>
      <c r="J992" t="n">
        <v>0</v>
      </c>
      <c r="K992" t="n">
        <v>0</v>
      </c>
      <c r="L992" t="n">
        <v>0</v>
      </c>
      <c r="M992" t="n">
        <v>0</v>
      </c>
      <c r="N992" t="n">
        <v>0</v>
      </c>
      <c r="O992" t="n">
        <v>0</v>
      </c>
      <c r="P992" t="n">
        <v>0</v>
      </c>
      <c r="Q992" t="n">
        <v>0</v>
      </c>
      <c r="R992" s="2" t="inlineStr"/>
    </row>
    <row r="993" ht="15" customHeight="1">
      <c r="A993" t="inlineStr">
        <is>
          <t>A 45063-2022</t>
        </is>
      </c>
      <c r="B993" s="1" t="n">
        <v>44841.84542824074</v>
      </c>
      <c r="C993" s="1" t="n">
        <v>45962</v>
      </c>
      <c r="D993" t="inlineStr">
        <is>
          <t>SKÅNE LÄN</t>
        </is>
      </c>
      <c r="E993" t="inlineStr">
        <is>
          <t>ÖRKELLJUNGA</t>
        </is>
      </c>
      <c r="G993" t="n">
        <v>0.8</v>
      </c>
      <c r="H993" t="n">
        <v>0</v>
      </c>
      <c r="I993" t="n">
        <v>0</v>
      </c>
      <c r="J993" t="n">
        <v>0</v>
      </c>
      <c r="K993" t="n">
        <v>0</v>
      </c>
      <c r="L993" t="n">
        <v>0</v>
      </c>
      <c r="M993" t="n">
        <v>0</v>
      </c>
      <c r="N993" t="n">
        <v>0</v>
      </c>
      <c r="O993" t="n">
        <v>0</v>
      </c>
      <c r="P993" t="n">
        <v>0</v>
      </c>
      <c r="Q993" t="n">
        <v>0</v>
      </c>
      <c r="R993" s="2" t="inlineStr"/>
    </row>
    <row r="994" ht="15" customHeight="1">
      <c r="A994" t="inlineStr">
        <is>
          <t>A 62782-2020</t>
        </is>
      </c>
      <c r="B994" s="1" t="n">
        <v>44161</v>
      </c>
      <c r="C994" s="1" t="n">
        <v>45962</v>
      </c>
      <c r="D994" t="inlineStr">
        <is>
          <t>SKÅNE LÄN</t>
        </is>
      </c>
      <c r="E994" t="inlineStr">
        <is>
          <t>HÄSSLEHOLM</t>
        </is>
      </c>
      <c r="F994" t="inlineStr">
        <is>
          <t>Kyrkan</t>
        </is>
      </c>
      <c r="G994" t="n">
        <v>1.6</v>
      </c>
      <c r="H994" t="n">
        <v>0</v>
      </c>
      <c r="I994" t="n">
        <v>0</v>
      </c>
      <c r="J994" t="n">
        <v>0</v>
      </c>
      <c r="K994" t="n">
        <v>0</v>
      </c>
      <c r="L994" t="n">
        <v>0</v>
      </c>
      <c r="M994" t="n">
        <v>0</v>
      </c>
      <c r="N994" t="n">
        <v>0</v>
      </c>
      <c r="O994" t="n">
        <v>0</v>
      </c>
      <c r="P994" t="n">
        <v>0</v>
      </c>
      <c r="Q994" t="n">
        <v>0</v>
      </c>
      <c r="R994" s="2" t="inlineStr"/>
    </row>
    <row r="995" ht="15" customHeight="1">
      <c r="A995" t="inlineStr">
        <is>
          <t>A 61216-2020</t>
        </is>
      </c>
      <c r="B995" s="1" t="n">
        <v>44155</v>
      </c>
      <c r="C995" s="1" t="n">
        <v>45962</v>
      </c>
      <c r="D995" t="inlineStr">
        <is>
          <t>SKÅNE LÄN</t>
        </is>
      </c>
      <c r="E995" t="inlineStr">
        <is>
          <t>HÄSSLEHOLM</t>
        </is>
      </c>
      <c r="G995" t="n">
        <v>1.3</v>
      </c>
      <c r="H995" t="n">
        <v>0</v>
      </c>
      <c r="I995" t="n">
        <v>0</v>
      </c>
      <c r="J995" t="n">
        <v>0</v>
      </c>
      <c r="K995" t="n">
        <v>0</v>
      </c>
      <c r="L995" t="n">
        <v>0</v>
      </c>
      <c r="M995" t="n">
        <v>0</v>
      </c>
      <c r="N995" t="n">
        <v>0</v>
      </c>
      <c r="O995" t="n">
        <v>0</v>
      </c>
      <c r="P995" t="n">
        <v>0</v>
      </c>
      <c r="Q995" t="n">
        <v>0</v>
      </c>
      <c r="R995" s="2" t="inlineStr"/>
    </row>
    <row r="996" ht="15" customHeight="1">
      <c r="A996" t="inlineStr">
        <is>
          <t>A 53935-2021</t>
        </is>
      </c>
      <c r="B996" s="1" t="n">
        <v>44469.84310185185</v>
      </c>
      <c r="C996" s="1" t="n">
        <v>45962</v>
      </c>
      <c r="D996" t="inlineStr">
        <is>
          <t>SKÅNE LÄN</t>
        </is>
      </c>
      <c r="E996" t="inlineStr">
        <is>
          <t>OSBY</t>
        </is>
      </c>
      <c r="G996" t="n">
        <v>1.4</v>
      </c>
      <c r="H996" t="n">
        <v>0</v>
      </c>
      <c r="I996" t="n">
        <v>0</v>
      </c>
      <c r="J996" t="n">
        <v>0</v>
      </c>
      <c r="K996" t="n">
        <v>0</v>
      </c>
      <c r="L996" t="n">
        <v>0</v>
      </c>
      <c r="M996" t="n">
        <v>0</v>
      </c>
      <c r="N996" t="n">
        <v>0</v>
      </c>
      <c r="O996" t="n">
        <v>0</v>
      </c>
      <c r="P996" t="n">
        <v>0</v>
      </c>
      <c r="Q996" t="n">
        <v>0</v>
      </c>
      <c r="R996" s="2" t="inlineStr"/>
    </row>
    <row r="997" ht="15" customHeight="1">
      <c r="A997" t="inlineStr">
        <is>
          <t>A 21615-2021</t>
        </is>
      </c>
      <c r="B997" s="1" t="n">
        <v>44321</v>
      </c>
      <c r="C997" s="1" t="n">
        <v>45962</v>
      </c>
      <c r="D997" t="inlineStr">
        <is>
          <t>SKÅNE LÄN</t>
        </is>
      </c>
      <c r="E997" t="inlineStr">
        <is>
          <t>OSBY</t>
        </is>
      </c>
      <c r="G997" t="n">
        <v>1.6</v>
      </c>
      <c r="H997" t="n">
        <v>0</v>
      </c>
      <c r="I997" t="n">
        <v>0</v>
      </c>
      <c r="J997" t="n">
        <v>0</v>
      </c>
      <c r="K997" t="n">
        <v>0</v>
      </c>
      <c r="L997" t="n">
        <v>0</v>
      </c>
      <c r="M997" t="n">
        <v>0</v>
      </c>
      <c r="N997" t="n">
        <v>0</v>
      </c>
      <c r="O997" t="n">
        <v>0</v>
      </c>
      <c r="P997" t="n">
        <v>0</v>
      </c>
      <c r="Q997" t="n">
        <v>0</v>
      </c>
      <c r="R997" s="2" t="inlineStr"/>
    </row>
    <row r="998" ht="15" customHeight="1">
      <c r="A998" t="inlineStr">
        <is>
          <t>A 8794-2022</t>
        </is>
      </c>
      <c r="B998" s="1" t="n">
        <v>44614</v>
      </c>
      <c r="C998" s="1" t="n">
        <v>45962</v>
      </c>
      <c r="D998" t="inlineStr">
        <is>
          <t>SKÅNE LÄN</t>
        </is>
      </c>
      <c r="E998" t="inlineStr">
        <is>
          <t>OSBY</t>
        </is>
      </c>
      <c r="G998" t="n">
        <v>0.2</v>
      </c>
      <c r="H998" t="n">
        <v>0</v>
      </c>
      <c r="I998" t="n">
        <v>0</v>
      </c>
      <c r="J998" t="n">
        <v>0</v>
      </c>
      <c r="K998" t="n">
        <v>0</v>
      </c>
      <c r="L998" t="n">
        <v>0</v>
      </c>
      <c r="M998" t="n">
        <v>0</v>
      </c>
      <c r="N998" t="n">
        <v>0</v>
      </c>
      <c r="O998" t="n">
        <v>0</v>
      </c>
      <c r="P998" t="n">
        <v>0</v>
      </c>
      <c r="Q998" t="n">
        <v>0</v>
      </c>
      <c r="R998" s="2" t="inlineStr"/>
    </row>
    <row r="999" ht="15" customHeight="1">
      <c r="A999" t="inlineStr">
        <is>
          <t>A 66507-2020</t>
        </is>
      </c>
      <c r="B999" s="1" t="n">
        <v>44178</v>
      </c>
      <c r="C999" s="1" t="n">
        <v>45962</v>
      </c>
      <c r="D999" t="inlineStr">
        <is>
          <t>SKÅNE LÄN</t>
        </is>
      </c>
      <c r="E999" t="inlineStr">
        <is>
          <t>HÖÖR</t>
        </is>
      </c>
      <c r="G999" t="n">
        <v>1</v>
      </c>
      <c r="H999" t="n">
        <v>0</v>
      </c>
      <c r="I999" t="n">
        <v>0</v>
      </c>
      <c r="J999" t="n">
        <v>0</v>
      </c>
      <c r="K999" t="n">
        <v>0</v>
      </c>
      <c r="L999" t="n">
        <v>0</v>
      </c>
      <c r="M999" t="n">
        <v>0</v>
      </c>
      <c r="N999" t="n">
        <v>0</v>
      </c>
      <c r="O999" t="n">
        <v>0</v>
      </c>
      <c r="P999" t="n">
        <v>0</v>
      </c>
      <c r="Q999" t="n">
        <v>0</v>
      </c>
      <c r="R999" s="2" t="inlineStr"/>
    </row>
    <row r="1000" ht="15" customHeight="1">
      <c r="A1000" t="inlineStr">
        <is>
          <t>A 6967-2021</t>
        </is>
      </c>
      <c r="B1000" s="1" t="n">
        <v>44237</v>
      </c>
      <c r="C1000" s="1" t="n">
        <v>45962</v>
      </c>
      <c r="D1000" t="inlineStr">
        <is>
          <t>SKÅNE LÄN</t>
        </is>
      </c>
      <c r="E1000" t="inlineStr">
        <is>
          <t>HÄSSLEHOLM</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16579-2022</t>
        </is>
      </c>
      <c r="B1001" s="1" t="n">
        <v>44672.46216435185</v>
      </c>
      <c r="C1001" s="1" t="n">
        <v>45962</v>
      </c>
      <c r="D1001" t="inlineStr">
        <is>
          <t>SKÅNE LÄN</t>
        </is>
      </c>
      <c r="E1001" t="inlineStr">
        <is>
          <t>KRISTIANSTAD</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25557-2021</t>
        </is>
      </c>
      <c r="B1002" s="1" t="n">
        <v>44343.3566087963</v>
      </c>
      <c r="C1002" s="1" t="n">
        <v>45962</v>
      </c>
      <c r="D1002" t="inlineStr">
        <is>
          <t>SKÅNE LÄN</t>
        </is>
      </c>
      <c r="E1002" t="inlineStr">
        <is>
          <t>BROMÖLLA</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36595-2022</t>
        </is>
      </c>
      <c r="B1003" s="1" t="n">
        <v>44804.63545138889</v>
      </c>
      <c r="C1003" s="1" t="n">
        <v>45962</v>
      </c>
      <c r="D1003" t="inlineStr">
        <is>
          <t>SKÅNE LÄN</t>
        </is>
      </c>
      <c r="E1003" t="inlineStr">
        <is>
          <t>ÖRKELLJUNGA</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13873-2021</t>
        </is>
      </c>
      <c r="B1004" s="1" t="n">
        <v>44277.39847222222</v>
      </c>
      <c r="C1004" s="1" t="n">
        <v>45962</v>
      </c>
      <c r="D1004" t="inlineStr">
        <is>
          <t>SKÅNE LÄN</t>
        </is>
      </c>
      <c r="E1004" t="inlineStr">
        <is>
          <t>ÄNGELHOLM</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39056-2022</t>
        </is>
      </c>
      <c r="B1005" s="1" t="n">
        <v>44816</v>
      </c>
      <c r="C1005" s="1" t="n">
        <v>45962</v>
      </c>
      <c r="D1005" t="inlineStr">
        <is>
          <t>SKÅNE LÄN</t>
        </is>
      </c>
      <c r="E1005" t="inlineStr">
        <is>
          <t>KLIPPAN</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34995-2021</t>
        </is>
      </c>
      <c r="B1006" s="1" t="n">
        <v>44383</v>
      </c>
      <c r="C1006" s="1" t="n">
        <v>45962</v>
      </c>
      <c r="D1006" t="inlineStr">
        <is>
          <t>SKÅNE LÄN</t>
        </is>
      </c>
      <c r="E1006" t="inlineStr">
        <is>
          <t>OSBY</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74297-2021</t>
        </is>
      </c>
      <c r="B1007" s="1" t="n">
        <v>44558</v>
      </c>
      <c r="C1007" s="1" t="n">
        <v>45962</v>
      </c>
      <c r="D1007" t="inlineStr">
        <is>
          <t>SKÅNE LÄN</t>
        </is>
      </c>
      <c r="E1007" t="inlineStr">
        <is>
          <t>HÄSSLEHOLM</t>
        </is>
      </c>
      <c r="F1007" t="inlineStr">
        <is>
          <t>Kyrkan</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2514-2021</t>
        </is>
      </c>
      <c r="B1008" s="1" t="n">
        <v>44214</v>
      </c>
      <c r="C1008" s="1" t="n">
        <v>45962</v>
      </c>
      <c r="D1008" t="inlineStr">
        <is>
          <t>SKÅNE LÄN</t>
        </is>
      </c>
      <c r="E1008" t="inlineStr">
        <is>
          <t>HÄSSLEHOLM</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418-2022</t>
        </is>
      </c>
      <c r="B1009" s="1" t="n">
        <v>44565.84958333334</v>
      </c>
      <c r="C1009" s="1" t="n">
        <v>45962</v>
      </c>
      <c r="D1009" t="inlineStr">
        <is>
          <t>SKÅNE LÄN</t>
        </is>
      </c>
      <c r="E1009" t="inlineStr">
        <is>
          <t>HÄSSLEHOLM</t>
        </is>
      </c>
      <c r="G1009" t="n">
        <v>0</v>
      </c>
      <c r="H1009" t="n">
        <v>0</v>
      </c>
      <c r="I1009" t="n">
        <v>0</v>
      </c>
      <c r="J1009" t="n">
        <v>0</v>
      </c>
      <c r="K1009" t="n">
        <v>0</v>
      </c>
      <c r="L1009" t="n">
        <v>0</v>
      </c>
      <c r="M1009" t="n">
        <v>0</v>
      </c>
      <c r="N1009" t="n">
        <v>0</v>
      </c>
      <c r="O1009" t="n">
        <v>0</v>
      </c>
      <c r="P1009" t="n">
        <v>0</v>
      </c>
      <c r="Q1009" t="n">
        <v>0</v>
      </c>
      <c r="R1009" s="2" t="inlineStr"/>
    </row>
    <row r="1010" ht="15" customHeight="1">
      <c r="A1010" t="inlineStr">
        <is>
          <t>A 54057-2021</t>
        </is>
      </c>
      <c r="B1010" s="1" t="n">
        <v>44470</v>
      </c>
      <c r="C1010" s="1" t="n">
        <v>45962</v>
      </c>
      <c r="D1010" t="inlineStr">
        <is>
          <t>SKÅNE LÄN</t>
        </is>
      </c>
      <c r="E1010" t="inlineStr">
        <is>
          <t>KRISTIANSTAD</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3113-2021</t>
        </is>
      </c>
      <c r="B1011" s="1" t="n">
        <v>44217</v>
      </c>
      <c r="C1011" s="1" t="n">
        <v>45962</v>
      </c>
      <c r="D1011" t="inlineStr">
        <is>
          <t>SKÅNE LÄN</t>
        </is>
      </c>
      <c r="E1011" t="inlineStr">
        <is>
          <t>OSBY</t>
        </is>
      </c>
      <c r="F1011" t="inlineStr">
        <is>
          <t>Sveaskog</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15570-2022</t>
        </is>
      </c>
      <c r="B1012" s="1" t="n">
        <v>44662</v>
      </c>
      <c r="C1012" s="1" t="n">
        <v>45962</v>
      </c>
      <c r="D1012" t="inlineStr">
        <is>
          <t>SKÅNE LÄN</t>
        </is>
      </c>
      <c r="E1012" t="inlineStr">
        <is>
          <t>OSBY</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3792-2021</t>
        </is>
      </c>
      <c r="B1013" s="1" t="n">
        <v>44221</v>
      </c>
      <c r="C1013" s="1" t="n">
        <v>45962</v>
      </c>
      <c r="D1013" t="inlineStr">
        <is>
          <t>SKÅNE LÄN</t>
        </is>
      </c>
      <c r="E1013" t="inlineStr">
        <is>
          <t>BROMÖLLA</t>
        </is>
      </c>
      <c r="G1013" t="n">
        <v>6.3</v>
      </c>
      <c r="H1013" t="n">
        <v>0</v>
      </c>
      <c r="I1013" t="n">
        <v>0</v>
      </c>
      <c r="J1013" t="n">
        <v>0</v>
      </c>
      <c r="K1013" t="n">
        <v>0</v>
      </c>
      <c r="L1013" t="n">
        <v>0</v>
      </c>
      <c r="M1013" t="n">
        <v>0</v>
      </c>
      <c r="N1013" t="n">
        <v>0</v>
      </c>
      <c r="O1013" t="n">
        <v>0</v>
      </c>
      <c r="P1013" t="n">
        <v>0</v>
      </c>
      <c r="Q1013" t="n">
        <v>0</v>
      </c>
      <c r="R1013" s="2" t="inlineStr"/>
    </row>
    <row r="1014" ht="15" customHeight="1">
      <c r="A1014" t="inlineStr">
        <is>
          <t>A 46692-2021</t>
        </is>
      </c>
      <c r="B1014" s="1" t="n">
        <v>44445</v>
      </c>
      <c r="C1014" s="1" t="n">
        <v>45962</v>
      </c>
      <c r="D1014" t="inlineStr">
        <is>
          <t>SKÅNE LÄN</t>
        </is>
      </c>
      <c r="E1014" t="inlineStr">
        <is>
          <t>KLIPPAN</t>
        </is>
      </c>
      <c r="F1014" t="inlineStr">
        <is>
          <t>Sveaskog</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3930-2021</t>
        </is>
      </c>
      <c r="B1015" s="1" t="n">
        <v>44222</v>
      </c>
      <c r="C1015" s="1" t="n">
        <v>45962</v>
      </c>
      <c r="D1015" t="inlineStr">
        <is>
          <t>SKÅNE LÄN</t>
        </is>
      </c>
      <c r="E1015" t="inlineStr">
        <is>
          <t>HÄSSLEHOLM</t>
        </is>
      </c>
      <c r="G1015" t="n">
        <v>3.4</v>
      </c>
      <c r="H1015" t="n">
        <v>0</v>
      </c>
      <c r="I1015" t="n">
        <v>0</v>
      </c>
      <c r="J1015" t="n">
        <v>0</v>
      </c>
      <c r="K1015" t="n">
        <v>0</v>
      </c>
      <c r="L1015" t="n">
        <v>0</v>
      </c>
      <c r="M1015" t="n">
        <v>0</v>
      </c>
      <c r="N1015" t="n">
        <v>0</v>
      </c>
      <c r="O1015" t="n">
        <v>0</v>
      </c>
      <c r="P1015" t="n">
        <v>0</v>
      </c>
      <c r="Q1015" t="n">
        <v>0</v>
      </c>
      <c r="R1015" s="2" t="inlineStr"/>
    </row>
    <row r="1016" ht="15" customHeight="1">
      <c r="A1016" t="inlineStr">
        <is>
          <t>A 33489-2022</t>
        </is>
      </c>
      <c r="B1016" s="1" t="n">
        <v>44788.83469907408</v>
      </c>
      <c r="C1016" s="1" t="n">
        <v>45962</v>
      </c>
      <c r="D1016" t="inlineStr">
        <is>
          <t>SKÅNE LÄN</t>
        </is>
      </c>
      <c r="E1016" t="inlineStr">
        <is>
          <t>OSBY</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55130-2022</t>
        </is>
      </c>
      <c r="B1017" s="1" t="n">
        <v>44886.65877314815</v>
      </c>
      <c r="C1017" s="1" t="n">
        <v>45962</v>
      </c>
      <c r="D1017" t="inlineStr">
        <is>
          <t>SKÅNE LÄN</t>
        </is>
      </c>
      <c r="E1017" t="inlineStr">
        <is>
          <t>ÖSTRA GÖINGE</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65040-2020</t>
        </is>
      </c>
      <c r="B1018" s="1" t="n">
        <v>44167</v>
      </c>
      <c r="C1018" s="1" t="n">
        <v>45962</v>
      </c>
      <c r="D1018" t="inlineStr">
        <is>
          <t>SKÅNE LÄN</t>
        </is>
      </c>
      <c r="E1018" t="inlineStr">
        <is>
          <t>KRISTIANSTAD</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23956-2023</t>
        </is>
      </c>
      <c r="B1019" s="1" t="n">
        <v>45078.62302083334</v>
      </c>
      <c r="C1019" s="1" t="n">
        <v>45962</v>
      </c>
      <c r="D1019" t="inlineStr">
        <is>
          <t>SKÅNE LÄN</t>
        </is>
      </c>
      <c r="E1019" t="inlineStr">
        <is>
          <t>HÄSSLEHOLM</t>
        </is>
      </c>
      <c r="G1019" t="n">
        <v>0.1</v>
      </c>
      <c r="H1019" t="n">
        <v>0</v>
      </c>
      <c r="I1019" t="n">
        <v>0</v>
      </c>
      <c r="J1019" t="n">
        <v>0</v>
      </c>
      <c r="K1019" t="n">
        <v>0</v>
      </c>
      <c r="L1019" t="n">
        <v>0</v>
      </c>
      <c r="M1019" t="n">
        <v>0</v>
      </c>
      <c r="N1019" t="n">
        <v>0</v>
      </c>
      <c r="O1019" t="n">
        <v>0</v>
      </c>
      <c r="P1019" t="n">
        <v>0</v>
      </c>
      <c r="Q1019" t="n">
        <v>0</v>
      </c>
      <c r="R1019" s="2" t="inlineStr"/>
    </row>
    <row r="1020" ht="15" customHeight="1">
      <c r="A1020" t="inlineStr">
        <is>
          <t>A 3375-2021</t>
        </is>
      </c>
      <c r="B1020" s="1" t="n">
        <v>44218</v>
      </c>
      <c r="C1020" s="1" t="n">
        <v>45962</v>
      </c>
      <c r="D1020" t="inlineStr">
        <is>
          <t>SKÅNE LÄN</t>
        </is>
      </c>
      <c r="E1020" t="inlineStr">
        <is>
          <t>SIMRISHAMN</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3402-2021</t>
        </is>
      </c>
      <c r="B1021" s="1" t="n">
        <v>44218.42267361111</v>
      </c>
      <c r="C1021" s="1" t="n">
        <v>45962</v>
      </c>
      <c r="D1021" t="inlineStr">
        <is>
          <t>SKÅNE LÄN</t>
        </is>
      </c>
      <c r="E1021" t="inlineStr">
        <is>
          <t>OSBY</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52295-2021</t>
        </is>
      </c>
      <c r="B1022" s="1" t="n">
        <v>44463</v>
      </c>
      <c r="C1022" s="1" t="n">
        <v>45962</v>
      </c>
      <c r="D1022" t="inlineStr">
        <is>
          <t>SKÅNE LÄN</t>
        </is>
      </c>
      <c r="E1022" t="inlineStr">
        <is>
          <t>HÄSSLEHOLM</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6973-2021</t>
        </is>
      </c>
      <c r="B1023" s="1" t="n">
        <v>44237</v>
      </c>
      <c r="C1023" s="1" t="n">
        <v>45962</v>
      </c>
      <c r="D1023" t="inlineStr">
        <is>
          <t>SKÅNE LÄN</t>
        </is>
      </c>
      <c r="E1023" t="inlineStr">
        <is>
          <t>HÄSSLEHOLM</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68909-2021</t>
        </is>
      </c>
      <c r="B1024" s="1" t="n">
        <v>44530.46730324074</v>
      </c>
      <c r="C1024" s="1" t="n">
        <v>45962</v>
      </c>
      <c r="D1024" t="inlineStr">
        <is>
          <t>SKÅNE LÄN</t>
        </is>
      </c>
      <c r="E1024" t="inlineStr">
        <is>
          <t>HÄSSLEHOLM</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23328-2023</t>
        </is>
      </c>
      <c r="B1025" s="1" t="n">
        <v>45076</v>
      </c>
      <c r="C1025" s="1" t="n">
        <v>45962</v>
      </c>
      <c r="D1025" t="inlineStr">
        <is>
          <t>SKÅNE LÄN</t>
        </is>
      </c>
      <c r="E1025" t="inlineStr">
        <is>
          <t>HÖRBY</t>
        </is>
      </c>
      <c r="F1025" t="inlineStr">
        <is>
          <t>Sveaskog</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17613-2024</t>
        </is>
      </c>
      <c r="B1026" s="1" t="n">
        <v>45416</v>
      </c>
      <c r="C1026" s="1" t="n">
        <v>45962</v>
      </c>
      <c r="D1026" t="inlineStr">
        <is>
          <t>SKÅNE LÄN</t>
        </is>
      </c>
      <c r="E1026" t="inlineStr">
        <is>
          <t>KRISTIANSTAD</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7481-2023</t>
        </is>
      </c>
      <c r="B1027" s="1" t="n">
        <v>44971</v>
      </c>
      <c r="C1027" s="1" t="n">
        <v>45962</v>
      </c>
      <c r="D1027" t="inlineStr">
        <is>
          <t>SKÅNE LÄN</t>
        </is>
      </c>
      <c r="E1027" t="inlineStr">
        <is>
          <t>HÄSSLEHOLM</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9453-2021</t>
        </is>
      </c>
      <c r="B1028" s="1" t="n">
        <v>44251</v>
      </c>
      <c r="C1028" s="1" t="n">
        <v>45962</v>
      </c>
      <c r="D1028" t="inlineStr">
        <is>
          <t>SKÅNE LÄN</t>
        </is>
      </c>
      <c r="E1028" t="inlineStr">
        <is>
          <t>HÄSSLEHOLM</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25834-2022</t>
        </is>
      </c>
      <c r="B1029" s="1" t="n">
        <v>44733.58805555556</v>
      </c>
      <c r="C1029" s="1" t="n">
        <v>45962</v>
      </c>
      <c r="D1029" t="inlineStr">
        <is>
          <t>SKÅNE LÄN</t>
        </is>
      </c>
      <c r="E1029" t="inlineStr">
        <is>
          <t>SIMRISHAMN</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5444-2025</t>
        </is>
      </c>
      <c r="B1030" s="1" t="n">
        <v>45692</v>
      </c>
      <c r="C1030" s="1" t="n">
        <v>45962</v>
      </c>
      <c r="D1030" t="inlineStr">
        <is>
          <t>SKÅNE LÄN</t>
        </is>
      </c>
      <c r="E1030" t="inlineStr">
        <is>
          <t>SJÖBO</t>
        </is>
      </c>
      <c r="F1030" t="inlineStr">
        <is>
          <t>Övriga Aktiebolag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15886-2025</t>
        </is>
      </c>
      <c r="B1031" s="1" t="n">
        <v>45749.39572916667</v>
      </c>
      <c r="C1031" s="1" t="n">
        <v>45962</v>
      </c>
      <c r="D1031" t="inlineStr">
        <is>
          <t>SKÅNE LÄN</t>
        </is>
      </c>
      <c r="E1031" t="inlineStr">
        <is>
          <t>OSBY</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47967-2021</t>
        </is>
      </c>
      <c r="B1032" s="1" t="n">
        <v>44448</v>
      </c>
      <c r="C1032" s="1" t="n">
        <v>45962</v>
      </c>
      <c r="D1032" t="inlineStr">
        <is>
          <t>SKÅNE LÄN</t>
        </is>
      </c>
      <c r="E1032" t="inlineStr">
        <is>
          <t>KLIPPAN</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20572-2021</t>
        </is>
      </c>
      <c r="B1033" s="1" t="n">
        <v>44316.32141203704</v>
      </c>
      <c r="C1033" s="1" t="n">
        <v>45962</v>
      </c>
      <c r="D1033" t="inlineStr">
        <is>
          <t>SKÅNE LÄN</t>
        </is>
      </c>
      <c r="E1033" t="inlineStr">
        <is>
          <t>SJÖBO</t>
        </is>
      </c>
      <c r="F1033" t="inlineStr">
        <is>
          <t>Övriga Aktiebolag</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20604-2021</t>
        </is>
      </c>
      <c r="B1034" s="1" t="n">
        <v>44315</v>
      </c>
      <c r="C1034" s="1" t="n">
        <v>45962</v>
      </c>
      <c r="D1034" t="inlineStr">
        <is>
          <t>SKÅNE LÄN</t>
        </is>
      </c>
      <c r="E1034" t="inlineStr">
        <is>
          <t>ÖSTRA GÖINGE</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20611-2021</t>
        </is>
      </c>
      <c r="B1035" s="1" t="n">
        <v>44315</v>
      </c>
      <c r="C1035" s="1" t="n">
        <v>45962</v>
      </c>
      <c r="D1035" t="inlineStr">
        <is>
          <t>SKÅNE LÄN</t>
        </is>
      </c>
      <c r="E1035" t="inlineStr">
        <is>
          <t>ÖSTRA GÖINGE</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14058-2025</t>
        </is>
      </c>
      <c r="B1036" s="1" t="n">
        <v>45740.40390046296</v>
      </c>
      <c r="C1036" s="1" t="n">
        <v>45962</v>
      </c>
      <c r="D1036" t="inlineStr">
        <is>
          <t>SKÅNE LÄN</t>
        </is>
      </c>
      <c r="E1036" t="inlineStr">
        <is>
          <t>LUND</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49370-2023</t>
        </is>
      </c>
      <c r="B1037" s="1" t="n">
        <v>45211</v>
      </c>
      <c r="C1037" s="1" t="n">
        <v>45962</v>
      </c>
      <c r="D1037" t="inlineStr">
        <is>
          <t>SKÅNE LÄN</t>
        </is>
      </c>
      <c r="E1037" t="inlineStr">
        <is>
          <t>KLIPPAN</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24691-2021</t>
        </is>
      </c>
      <c r="B1038" s="1" t="n">
        <v>44340</v>
      </c>
      <c r="C1038" s="1" t="n">
        <v>45962</v>
      </c>
      <c r="D1038" t="inlineStr">
        <is>
          <t>SKÅNE LÄN</t>
        </is>
      </c>
      <c r="E1038" t="inlineStr">
        <is>
          <t>ÄNGELHOLM</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58344-2024</t>
        </is>
      </c>
      <c r="B1039" s="1" t="n">
        <v>45632.64607638889</v>
      </c>
      <c r="C1039" s="1" t="n">
        <v>45962</v>
      </c>
      <c r="D1039" t="inlineStr">
        <is>
          <t>SKÅNE LÄN</t>
        </is>
      </c>
      <c r="E1039" t="inlineStr">
        <is>
          <t>OSBY</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36036-2022</t>
        </is>
      </c>
      <c r="B1040" s="1" t="n">
        <v>44802</v>
      </c>
      <c r="C1040" s="1" t="n">
        <v>45962</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28607-2023</t>
        </is>
      </c>
      <c r="B1041" s="1" t="n">
        <v>45103.5831712963</v>
      </c>
      <c r="C1041" s="1" t="n">
        <v>45962</v>
      </c>
      <c r="D1041" t="inlineStr">
        <is>
          <t>SKÅNE LÄN</t>
        </is>
      </c>
      <c r="E1041" t="inlineStr">
        <is>
          <t>KRISTIANSTAD</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28709-2023</t>
        </is>
      </c>
      <c r="B1042" s="1" t="n">
        <v>45103</v>
      </c>
      <c r="C1042" s="1" t="n">
        <v>45962</v>
      </c>
      <c r="D1042" t="inlineStr">
        <is>
          <t>SKÅNE LÄN</t>
        </is>
      </c>
      <c r="E1042" t="inlineStr">
        <is>
          <t>KLIPPAN</t>
        </is>
      </c>
      <c r="G1042" t="n">
        <v>5</v>
      </c>
      <c r="H1042" t="n">
        <v>0</v>
      </c>
      <c r="I1042" t="n">
        <v>0</v>
      </c>
      <c r="J1042" t="n">
        <v>0</v>
      </c>
      <c r="K1042" t="n">
        <v>0</v>
      </c>
      <c r="L1042" t="n">
        <v>0</v>
      </c>
      <c r="M1042" t="n">
        <v>0</v>
      </c>
      <c r="N1042" t="n">
        <v>0</v>
      </c>
      <c r="O1042" t="n">
        <v>0</v>
      </c>
      <c r="P1042" t="n">
        <v>0</v>
      </c>
      <c r="Q1042" t="n">
        <v>0</v>
      </c>
      <c r="R1042" s="2" t="inlineStr"/>
    </row>
    <row r="1043" ht="15" customHeight="1">
      <c r="A1043" t="inlineStr">
        <is>
          <t>A 6348-2024</t>
        </is>
      </c>
      <c r="B1043" s="1" t="n">
        <v>45338.44405092593</v>
      </c>
      <c r="C1043" s="1" t="n">
        <v>45962</v>
      </c>
      <c r="D1043" t="inlineStr">
        <is>
          <t>SKÅNE LÄN</t>
        </is>
      </c>
      <c r="E1043" t="inlineStr">
        <is>
          <t>KRISTIANSTAD</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59728-2022</t>
        </is>
      </c>
      <c r="B1044" s="1" t="n">
        <v>44900</v>
      </c>
      <c r="C1044" s="1" t="n">
        <v>45962</v>
      </c>
      <c r="D1044" t="inlineStr">
        <is>
          <t>SKÅNE LÄN</t>
        </is>
      </c>
      <c r="E1044" t="inlineStr">
        <is>
          <t>HÄSSLEHOLM</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67426-2021</t>
        </is>
      </c>
      <c r="B1045" s="1" t="n">
        <v>44523</v>
      </c>
      <c r="C1045" s="1" t="n">
        <v>45962</v>
      </c>
      <c r="D1045" t="inlineStr">
        <is>
          <t>SKÅNE LÄN</t>
        </is>
      </c>
      <c r="E1045" t="inlineStr">
        <is>
          <t>HÖRBY</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30978-2022</t>
        </is>
      </c>
      <c r="B1046" s="1" t="n">
        <v>44768.49884259259</v>
      </c>
      <c r="C1046" s="1" t="n">
        <v>45962</v>
      </c>
      <c r="D1046" t="inlineStr">
        <is>
          <t>SKÅNE LÄN</t>
        </is>
      </c>
      <c r="E1046" t="inlineStr">
        <is>
          <t>BROMÖLLA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62111-2020</t>
        </is>
      </c>
      <c r="B1047" s="1" t="n">
        <v>44159.61994212963</v>
      </c>
      <c r="C1047" s="1" t="n">
        <v>45962</v>
      </c>
      <c r="D1047" t="inlineStr">
        <is>
          <t>SKÅNE LÄN</t>
        </is>
      </c>
      <c r="E1047" t="inlineStr">
        <is>
          <t>OSBY</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14674-2025</t>
        </is>
      </c>
      <c r="B1048" s="1" t="n">
        <v>45742.55548611111</v>
      </c>
      <c r="C1048" s="1" t="n">
        <v>45962</v>
      </c>
      <c r="D1048" t="inlineStr">
        <is>
          <t>SKÅNE LÄN</t>
        </is>
      </c>
      <c r="E1048" t="inlineStr">
        <is>
          <t>HÄSSLEHOLM</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14702-2025</t>
        </is>
      </c>
      <c r="B1049" s="1" t="n">
        <v>45742.60403935185</v>
      </c>
      <c r="C1049" s="1" t="n">
        <v>45962</v>
      </c>
      <c r="D1049" t="inlineStr">
        <is>
          <t>SKÅNE LÄN</t>
        </is>
      </c>
      <c r="E1049" t="inlineStr">
        <is>
          <t>HÄSSLEHOLM</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7839-2022</t>
        </is>
      </c>
      <c r="B1050" s="1" t="n">
        <v>44608</v>
      </c>
      <c r="C1050" s="1" t="n">
        <v>45962</v>
      </c>
      <c r="D1050" t="inlineStr">
        <is>
          <t>SKÅNE LÄN</t>
        </is>
      </c>
      <c r="E1050" t="inlineStr">
        <is>
          <t>KLIPPAN</t>
        </is>
      </c>
      <c r="F1050" t="inlineStr">
        <is>
          <t>Övriga Aktiebolag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10775-2024</t>
        </is>
      </c>
      <c r="B1051" s="1" t="n">
        <v>45369.58465277778</v>
      </c>
      <c r="C1051" s="1" t="n">
        <v>45962</v>
      </c>
      <c r="D1051" t="inlineStr">
        <is>
          <t>SKÅNE LÄN</t>
        </is>
      </c>
      <c r="E1051" t="inlineStr">
        <is>
          <t>OSBY</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31758-2022</t>
        </is>
      </c>
      <c r="B1052" s="1" t="n">
        <v>44776</v>
      </c>
      <c r="C1052" s="1" t="n">
        <v>45962</v>
      </c>
      <c r="D1052" t="inlineStr">
        <is>
          <t>SKÅNE LÄN</t>
        </is>
      </c>
      <c r="E1052" t="inlineStr">
        <is>
          <t>OSBY</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64897-2023</t>
        </is>
      </c>
      <c r="B1053" s="1" t="n">
        <v>45282.61424768518</v>
      </c>
      <c r="C1053" s="1" t="n">
        <v>45962</v>
      </c>
      <c r="D1053" t="inlineStr">
        <is>
          <t>SKÅNE LÄN</t>
        </is>
      </c>
      <c r="E1053" t="inlineStr">
        <is>
          <t>OSBY</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16337-2025</t>
        </is>
      </c>
      <c r="B1054" s="1" t="n">
        <v>45751.36584490741</v>
      </c>
      <c r="C1054" s="1" t="n">
        <v>45962</v>
      </c>
      <c r="D1054" t="inlineStr">
        <is>
          <t>SKÅNE LÄN</t>
        </is>
      </c>
      <c r="E1054" t="inlineStr">
        <is>
          <t>PERSTORP</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16388-2025</t>
        </is>
      </c>
      <c r="B1055" s="1" t="n">
        <v>45751.42787037037</v>
      </c>
      <c r="C1055" s="1" t="n">
        <v>45962</v>
      </c>
      <c r="D1055" t="inlineStr">
        <is>
          <t>SKÅNE LÄN</t>
        </is>
      </c>
      <c r="E1055" t="inlineStr">
        <is>
          <t>HÄSSLEHOLM</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23950-2023</t>
        </is>
      </c>
      <c r="B1056" s="1" t="n">
        <v>45078.61771990741</v>
      </c>
      <c r="C1056" s="1" t="n">
        <v>45962</v>
      </c>
      <c r="D1056" t="inlineStr">
        <is>
          <t>SKÅNE LÄN</t>
        </is>
      </c>
      <c r="E1056" t="inlineStr">
        <is>
          <t>HÄSSLEHOLM</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23952-2023</t>
        </is>
      </c>
      <c r="B1057" s="1" t="n">
        <v>45078.62064814815</v>
      </c>
      <c r="C1057" s="1" t="n">
        <v>45962</v>
      </c>
      <c r="D1057" t="inlineStr">
        <is>
          <t>SKÅNE LÄN</t>
        </is>
      </c>
      <c r="E1057" t="inlineStr">
        <is>
          <t>HÄSSLEHOLM</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46095-2023</t>
        </is>
      </c>
      <c r="B1058" s="1" t="n">
        <v>45190</v>
      </c>
      <c r="C1058" s="1" t="n">
        <v>45962</v>
      </c>
      <c r="D1058" t="inlineStr">
        <is>
          <t>SKÅNE LÄN</t>
        </is>
      </c>
      <c r="E1058" t="inlineStr">
        <is>
          <t>KRISTIANSTAD</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10748-2023</t>
        </is>
      </c>
      <c r="B1059" s="1" t="n">
        <v>44984</v>
      </c>
      <c r="C1059" s="1" t="n">
        <v>45962</v>
      </c>
      <c r="D1059" t="inlineStr">
        <is>
          <t>SKÅNE LÄN</t>
        </is>
      </c>
      <c r="E1059" t="inlineStr">
        <is>
          <t>KRISTIANSTAD</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36041-2022</t>
        </is>
      </c>
      <c r="B1060" s="1" t="n">
        <v>44802.69045138889</v>
      </c>
      <c r="C1060" s="1" t="n">
        <v>45962</v>
      </c>
      <c r="D1060" t="inlineStr">
        <is>
          <t>SKÅNE LÄN</t>
        </is>
      </c>
      <c r="E1060" t="inlineStr">
        <is>
          <t>ÄNGELHOLM</t>
        </is>
      </c>
      <c r="G1060" t="n">
        <v>0</v>
      </c>
      <c r="H1060" t="n">
        <v>0</v>
      </c>
      <c r="I1060" t="n">
        <v>0</v>
      </c>
      <c r="J1060" t="n">
        <v>0</v>
      </c>
      <c r="K1060" t="n">
        <v>0</v>
      </c>
      <c r="L1060" t="n">
        <v>0</v>
      </c>
      <c r="M1060" t="n">
        <v>0</v>
      </c>
      <c r="N1060" t="n">
        <v>0</v>
      </c>
      <c r="O1060" t="n">
        <v>0</v>
      </c>
      <c r="P1060" t="n">
        <v>0</v>
      </c>
      <c r="Q1060" t="n">
        <v>0</v>
      </c>
      <c r="R1060" s="2" t="inlineStr"/>
    </row>
    <row r="1061" ht="15" customHeight="1">
      <c r="A1061" t="inlineStr">
        <is>
          <t>A 35974-2022</t>
        </is>
      </c>
      <c r="B1061" s="1" t="n">
        <v>44802</v>
      </c>
      <c r="C1061" s="1" t="n">
        <v>45962</v>
      </c>
      <c r="D1061" t="inlineStr">
        <is>
          <t>SKÅNE LÄN</t>
        </is>
      </c>
      <c r="E1061" t="inlineStr">
        <is>
          <t>HÄSSLEHOLM</t>
        </is>
      </c>
      <c r="G1061" t="n">
        <v>3.8</v>
      </c>
      <c r="H1061" t="n">
        <v>0</v>
      </c>
      <c r="I1061" t="n">
        <v>0</v>
      </c>
      <c r="J1061" t="n">
        <v>0</v>
      </c>
      <c r="K1061" t="n">
        <v>0</v>
      </c>
      <c r="L1061" t="n">
        <v>0</v>
      </c>
      <c r="M1061" t="n">
        <v>0</v>
      </c>
      <c r="N1061" t="n">
        <v>0</v>
      </c>
      <c r="O1061" t="n">
        <v>0</v>
      </c>
      <c r="P1061" t="n">
        <v>0</v>
      </c>
      <c r="Q1061" t="n">
        <v>0</v>
      </c>
      <c r="R1061" s="2" t="inlineStr"/>
    </row>
    <row r="1062" ht="15" customHeight="1">
      <c r="A1062" t="inlineStr">
        <is>
          <t>A 22975-2023</t>
        </is>
      </c>
      <c r="B1062" s="1" t="n">
        <v>45072</v>
      </c>
      <c r="C1062" s="1" t="n">
        <v>45962</v>
      </c>
      <c r="D1062" t="inlineStr">
        <is>
          <t>SKÅNE LÄN</t>
        </is>
      </c>
      <c r="E1062" t="inlineStr">
        <is>
          <t>ÖRKELLJUNGA</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23683-2023</t>
        </is>
      </c>
      <c r="B1063" s="1" t="n">
        <v>45077</v>
      </c>
      <c r="C1063" s="1" t="n">
        <v>45962</v>
      </c>
      <c r="D1063" t="inlineStr">
        <is>
          <t>SKÅNE LÄN</t>
        </is>
      </c>
      <c r="E1063" t="inlineStr">
        <is>
          <t>HÄSSLEHOLM</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1619-2022</t>
        </is>
      </c>
      <c r="B1064" s="1" t="n">
        <v>44573</v>
      </c>
      <c r="C1064" s="1" t="n">
        <v>45962</v>
      </c>
      <c r="D1064" t="inlineStr">
        <is>
          <t>SKÅNE LÄN</t>
        </is>
      </c>
      <c r="E1064" t="inlineStr">
        <is>
          <t>HÄSSLEHOLM</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8455-2024</t>
        </is>
      </c>
      <c r="B1065" s="1" t="n">
        <v>45354</v>
      </c>
      <c r="C1065" s="1" t="n">
        <v>45962</v>
      </c>
      <c r="D1065" t="inlineStr">
        <is>
          <t>SKÅNE LÄN</t>
        </is>
      </c>
      <c r="E1065" t="inlineStr">
        <is>
          <t>TOMELILLA</t>
        </is>
      </c>
      <c r="F1065" t="inlineStr">
        <is>
          <t>Övriga Aktiebolag</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22653-2024</t>
        </is>
      </c>
      <c r="B1066" s="1" t="n">
        <v>45447.91608796296</v>
      </c>
      <c r="C1066" s="1" t="n">
        <v>45962</v>
      </c>
      <c r="D1066" t="inlineStr">
        <is>
          <t>SKÅNE LÄN</t>
        </is>
      </c>
      <c r="E1066" t="inlineStr">
        <is>
          <t>OSBY</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40843-2023</t>
        </is>
      </c>
      <c r="B1067" s="1" t="n">
        <v>45172.9414699074</v>
      </c>
      <c r="C1067" s="1" t="n">
        <v>45962</v>
      </c>
      <c r="D1067" t="inlineStr">
        <is>
          <t>SKÅNE LÄN</t>
        </is>
      </c>
      <c r="E1067" t="inlineStr">
        <is>
          <t>ÖSTRA GÖINGE</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41874-2024</t>
        </is>
      </c>
      <c r="B1068" s="1" t="n">
        <v>45561</v>
      </c>
      <c r="C1068" s="1" t="n">
        <v>45962</v>
      </c>
      <c r="D1068" t="inlineStr">
        <is>
          <t>SKÅNE LÄN</t>
        </is>
      </c>
      <c r="E1068" t="inlineStr">
        <is>
          <t>HÄSSLEHOLM</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55716-2024</t>
        </is>
      </c>
      <c r="B1069" s="1" t="n">
        <v>45622</v>
      </c>
      <c r="C1069" s="1" t="n">
        <v>45962</v>
      </c>
      <c r="D1069" t="inlineStr">
        <is>
          <t>SKÅNE LÄN</t>
        </is>
      </c>
      <c r="E1069" t="inlineStr">
        <is>
          <t>ÖSTRA GÖINGE</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4009-2024</t>
        </is>
      </c>
      <c r="B1070" s="1" t="n">
        <v>45323</v>
      </c>
      <c r="C1070" s="1" t="n">
        <v>45962</v>
      </c>
      <c r="D1070" t="inlineStr">
        <is>
          <t>SKÅNE LÄN</t>
        </is>
      </c>
      <c r="E1070" t="inlineStr">
        <is>
          <t>HÄSSLEHOLM</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10928-2024</t>
        </is>
      </c>
      <c r="B1071" s="1" t="n">
        <v>45370</v>
      </c>
      <c r="C1071" s="1" t="n">
        <v>45962</v>
      </c>
      <c r="D1071" t="inlineStr">
        <is>
          <t>SKÅNE LÄN</t>
        </is>
      </c>
      <c r="E1071" t="inlineStr">
        <is>
          <t>HÄSSLEHOLM</t>
        </is>
      </c>
      <c r="F1071" t="inlineStr">
        <is>
          <t>Övriga Aktiebolag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10944-2024</t>
        </is>
      </c>
      <c r="B1072" s="1" t="n">
        <v>45370</v>
      </c>
      <c r="C1072" s="1" t="n">
        <v>45962</v>
      </c>
      <c r="D1072" t="inlineStr">
        <is>
          <t>SKÅNE LÄN</t>
        </is>
      </c>
      <c r="E1072" t="inlineStr">
        <is>
          <t>HÄSSLEHOLM</t>
        </is>
      </c>
      <c r="F1072" t="inlineStr">
        <is>
          <t>Övriga Aktiebolag</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44062-2022</t>
        </is>
      </c>
      <c r="B1073" s="1" t="n">
        <v>44839</v>
      </c>
      <c r="C1073" s="1" t="n">
        <v>45962</v>
      </c>
      <c r="D1073" t="inlineStr">
        <is>
          <t>SKÅNE LÄN</t>
        </is>
      </c>
      <c r="E1073" t="inlineStr">
        <is>
          <t>ÄNGELHOLM</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3239-2023</t>
        </is>
      </c>
      <c r="B1074" s="1" t="n">
        <v>44946.89586805556</v>
      </c>
      <c r="C1074" s="1" t="n">
        <v>45962</v>
      </c>
      <c r="D1074" t="inlineStr">
        <is>
          <t>SKÅNE LÄN</t>
        </is>
      </c>
      <c r="E1074" t="inlineStr">
        <is>
          <t>HÖRBY</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44496-2023</t>
        </is>
      </c>
      <c r="B1075" s="1" t="n">
        <v>45189</v>
      </c>
      <c r="C1075" s="1" t="n">
        <v>45962</v>
      </c>
      <c r="D1075" t="inlineStr">
        <is>
          <t>SKÅNE LÄN</t>
        </is>
      </c>
      <c r="E1075" t="inlineStr">
        <is>
          <t>ESLÖV</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19633-2023</t>
        </is>
      </c>
      <c r="B1076" s="1" t="n">
        <v>45051</v>
      </c>
      <c r="C1076" s="1" t="n">
        <v>45962</v>
      </c>
      <c r="D1076" t="inlineStr">
        <is>
          <t>SKÅNE LÄN</t>
        </is>
      </c>
      <c r="E1076" t="inlineStr">
        <is>
          <t>HÖÖR</t>
        </is>
      </c>
      <c r="F1076" t="inlineStr">
        <is>
          <t>Sveaskog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61238-2020</t>
        </is>
      </c>
      <c r="B1077" s="1" t="n">
        <v>44155</v>
      </c>
      <c r="C1077" s="1" t="n">
        <v>45962</v>
      </c>
      <c r="D1077" t="inlineStr">
        <is>
          <t>SKÅNE LÄN</t>
        </is>
      </c>
      <c r="E1077" t="inlineStr">
        <is>
          <t>HÖRBY</t>
        </is>
      </c>
      <c r="F1077" t="inlineStr">
        <is>
          <t>Kyrkan</t>
        </is>
      </c>
      <c r="G1077" t="n">
        <v>8.1</v>
      </c>
      <c r="H1077" t="n">
        <v>0</v>
      </c>
      <c r="I1077" t="n">
        <v>0</v>
      </c>
      <c r="J1077" t="n">
        <v>0</v>
      </c>
      <c r="K1077" t="n">
        <v>0</v>
      </c>
      <c r="L1077" t="n">
        <v>0</v>
      </c>
      <c r="M1077" t="n">
        <v>0</v>
      </c>
      <c r="N1077" t="n">
        <v>0</v>
      </c>
      <c r="O1077" t="n">
        <v>0</v>
      </c>
      <c r="P1077" t="n">
        <v>0</v>
      </c>
      <c r="Q1077" t="n">
        <v>0</v>
      </c>
      <c r="R1077" s="2" t="inlineStr"/>
    </row>
    <row r="1078" ht="15" customHeight="1">
      <c r="A1078" t="inlineStr">
        <is>
          <t>A 38936-2023</t>
        </is>
      </c>
      <c r="B1078" s="1" t="n">
        <v>45163.59946759259</v>
      </c>
      <c r="C1078" s="1" t="n">
        <v>45962</v>
      </c>
      <c r="D1078" t="inlineStr">
        <is>
          <t>SKÅNE LÄN</t>
        </is>
      </c>
      <c r="E1078" t="inlineStr">
        <is>
          <t>PERSTORP</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49239-2022</t>
        </is>
      </c>
      <c r="B1079" s="1" t="n">
        <v>44858</v>
      </c>
      <c r="C1079" s="1" t="n">
        <v>45962</v>
      </c>
      <c r="D1079" t="inlineStr">
        <is>
          <t>SKÅNE LÄN</t>
        </is>
      </c>
      <c r="E1079" t="inlineStr">
        <is>
          <t>KRISTIANSTAD</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38945-2023</t>
        </is>
      </c>
      <c r="B1080" s="1" t="n">
        <v>45163.60909722222</v>
      </c>
      <c r="C1080" s="1" t="n">
        <v>45962</v>
      </c>
      <c r="D1080" t="inlineStr">
        <is>
          <t>SKÅNE LÄN</t>
        </is>
      </c>
      <c r="E1080" t="inlineStr">
        <is>
          <t>KLIPPAN</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19777-2023</t>
        </is>
      </c>
      <c r="B1081" s="1" t="n">
        <v>45051</v>
      </c>
      <c r="C1081" s="1" t="n">
        <v>45962</v>
      </c>
      <c r="D1081" t="inlineStr">
        <is>
          <t>SKÅNE LÄN</t>
        </is>
      </c>
      <c r="E1081" t="inlineStr">
        <is>
          <t>HÖRBY</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2663-2023</t>
        </is>
      </c>
      <c r="B1082" s="1" t="n">
        <v>44942</v>
      </c>
      <c r="C1082" s="1" t="n">
        <v>45962</v>
      </c>
      <c r="D1082" t="inlineStr">
        <is>
          <t>SKÅNE LÄN</t>
        </is>
      </c>
      <c r="E1082" t="inlineStr">
        <is>
          <t>HÄSSLEHOLM</t>
        </is>
      </c>
      <c r="F1082" t="inlineStr">
        <is>
          <t>Kyrkan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23172-2022</t>
        </is>
      </c>
      <c r="B1083" s="1" t="n">
        <v>44719</v>
      </c>
      <c r="C1083" s="1" t="n">
        <v>45962</v>
      </c>
      <c r="D1083" t="inlineStr">
        <is>
          <t>SKÅNE LÄN</t>
        </is>
      </c>
      <c r="E1083" t="inlineStr">
        <is>
          <t>HÄSSLEHOLM</t>
        </is>
      </c>
      <c r="F1083" t="inlineStr">
        <is>
          <t>Övriga Aktiebolag</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23173-2022</t>
        </is>
      </c>
      <c r="B1084" s="1" t="n">
        <v>44719.72155092593</v>
      </c>
      <c r="C1084" s="1" t="n">
        <v>45962</v>
      </c>
      <c r="D1084" t="inlineStr">
        <is>
          <t>SKÅNE LÄN</t>
        </is>
      </c>
      <c r="E1084" t="inlineStr">
        <is>
          <t>HÄSSLEHOLM</t>
        </is>
      </c>
      <c r="F1084" t="inlineStr">
        <is>
          <t>Övriga Aktiebolag</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33865-2024</t>
        </is>
      </c>
      <c r="B1085" s="1" t="n">
        <v>45520</v>
      </c>
      <c r="C1085" s="1" t="n">
        <v>45962</v>
      </c>
      <c r="D1085" t="inlineStr">
        <is>
          <t>SKÅNE LÄN</t>
        </is>
      </c>
      <c r="E1085" t="inlineStr">
        <is>
          <t>ESLÖV</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55284-2023</t>
        </is>
      </c>
      <c r="B1086" s="1" t="n">
        <v>45237.74259259259</v>
      </c>
      <c r="C1086" s="1" t="n">
        <v>45962</v>
      </c>
      <c r="D1086" t="inlineStr">
        <is>
          <t>SKÅNE LÄN</t>
        </is>
      </c>
      <c r="E1086" t="inlineStr">
        <is>
          <t>HÄSSLEHOLM</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29335-2022</t>
        </is>
      </c>
      <c r="B1087" s="1" t="n">
        <v>44752</v>
      </c>
      <c r="C1087" s="1" t="n">
        <v>45962</v>
      </c>
      <c r="D1087" t="inlineStr">
        <is>
          <t>SKÅNE LÄN</t>
        </is>
      </c>
      <c r="E1087" t="inlineStr">
        <is>
          <t>ÖRKELLJUNGA</t>
        </is>
      </c>
      <c r="F1087" t="inlineStr">
        <is>
          <t>Kommuner</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56102-2022</t>
        </is>
      </c>
      <c r="B1088" s="1" t="n">
        <v>44889</v>
      </c>
      <c r="C1088" s="1" t="n">
        <v>45962</v>
      </c>
      <c r="D1088" t="inlineStr">
        <is>
          <t>SKÅNE LÄN</t>
        </is>
      </c>
      <c r="E1088" t="inlineStr">
        <is>
          <t>ÖSTRA GÖINGE</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427-2023</t>
        </is>
      </c>
      <c r="B1089" s="1" t="n">
        <v>44929</v>
      </c>
      <c r="C1089" s="1" t="n">
        <v>45962</v>
      </c>
      <c r="D1089" t="inlineStr">
        <is>
          <t>SKÅNE LÄN</t>
        </is>
      </c>
      <c r="E1089" t="inlineStr">
        <is>
          <t>ÖSTRA GÖINGE</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4188-2024</t>
        </is>
      </c>
      <c r="B1090" s="1" t="n">
        <v>45324</v>
      </c>
      <c r="C1090" s="1" t="n">
        <v>45962</v>
      </c>
      <c r="D1090" t="inlineStr">
        <is>
          <t>SKÅNE LÄN</t>
        </is>
      </c>
      <c r="E1090" t="inlineStr">
        <is>
          <t>TOMELILLA</t>
        </is>
      </c>
      <c r="F1090" t="inlineStr">
        <is>
          <t>Övriga Aktiebolag</t>
        </is>
      </c>
      <c r="G1090" t="n">
        <v>9.6</v>
      </c>
      <c r="H1090" t="n">
        <v>0</v>
      </c>
      <c r="I1090" t="n">
        <v>0</v>
      </c>
      <c r="J1090" t="n">
        <v>0</v>
      </c>
      <c r="K1090" t="n">
        <v>0</v>
      </c>
      <c r="L1090" t="n">
        <v>0</v>
      </c>
      <c r="M1090" t="n">
        <v>0</v>
      </c>
      <c r="N1090" t="n">
        <v>0</v>
      </c>
      <c r="O1090" t="n">
        <v>0</v>
      </c>
      <c r="P1090" t="n">
        <v>0</v>
      </c>
      <c r="Q1090" t="n">
        <v>0</v>
      </c>
      <c r="R1090" s="2" t="inlineStr"/>
    </row>
    <row r="1091" ht="15" customHeight="1">
      <c r="A1091" t="inlineStr">
        <is>
          <t>A 9430-2025</t>
        </is>
      </c>
      <c r="B1091" s="1" t="n">
        <v>45715.40586805555</v>
      </c>
      <c r="C1091" s="1" t="n">
        <v>45962</v>
      </c>
      <c r="D1091" t="inlineStr">
        <is>
          <t>SKÅNE LÄN</t>
        </is>
      </c>
      <c r="E1091" t="inlineStr">
        <is>
          <t>OSBY</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6087-2025</t>
        </is>
      </c>
      <c r="B1092" s="1" t="n">
        <v>45697.69782407407</v>
      </c>
      <c r="C1092" s="1" t="n">
        <v>45962</v>
      </c>
      <c r="D1092" t="inlineStr">
        <is>
          <t>SKÅNE LÄN</t>
        </is>
      </c>
      <c r="E1092" t="inlineStr">
        <is>
          <t>HÄSSLEHOLM</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33466-2024</t>
        </is>
      </c>
      <c r="B1093" s="1" t="n">
        <v>45519</v>
      </c>
      <c r="C1093" s="1" t="n">
        <v>45962</v>
      </c>
      <c r="D1093" t="inlineStr">
        <is>
          <t>SKÅNE LÄN</t>
        </is>
      </c>
      <c r="E1093" t="inlineStr">
        <is>
          <t>HÄSSLEHOLM</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28746-2024</t>
        </is>
      </c>
      <c r="B1094" s="1" t="n">
        <v>45478</v>
      </c>
      <c r="C1094" s="1" t="n">
        <v>45962</v>
      </c>
      <c r="D1094" t="inlineStr">
        <is>
          <t>SKÅNE LÄN</t>
        </is>
      </c>
      <c r="E1094" t="inlineStr">
        <is>
          <t>HÖRBY</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12601-2025</t>
        </is>
      </c>
      <c r="B1095" s="1" t="n">
        <v>45733</v>
      </c>
      <c r="C1095" s="1" t="n">
        <v>45962</v>
      </c>
      <c r="D1095" t="inlineStr">
        <is>
          <t>SKÅNE LÄN</t>
        </is>
      </c>
      <c r="E1095" t="inlineStr">
        <is>
          <t>OSBY</t>
        </is>
      </c>
      <c r="F1095" t="inlineStr">
        <is>
          <t>Sveaskog</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2190-2022</t>
        </is>
      </c>
      <c r="B1096" s="1" t="n">
        <v>44578.48868055556</v>
      </c>
      <c r="C1096" s="1" t="n">
        <v>45962</v>
      </c>
      <c r="D1096" t="inlineStr">
        <is>
          <t>SKÅNE LÄN</t>
        </is>
      </c>
      <c r="E1096" t="inlineStr">
        <is>
          <t>TOMELILLA</t>
        </is>
      </c>
      <c r="F1096" t="inlineStr">
        <is>
          <t>Sveaskog</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2193-2022</t>
        </is>
      </c>
      <c r="B1097" s="1" t="n">
        <v>44578.49351851852</v>
      </c>
      <c r="C1097" s="1" t="n">
        <v>45962</v>
      </c>
      <c r="D1097" t="inlineStr">
        <is>
          <t>SKÅNE LÄN</t>
        </is>
      </c>
      <c r="E1097" t="inlineStr">
        <is>
          <t>TOMELILLA</t>
        </is>
      </c>
      <c r="F1097" t="inlineStr">
        <is>
          <t>Sveaskog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74094-2021</t>
        </is>
      </c>
      <c r="B1098" s="1" t="n">
        <v>44557.62873842593</v>
      </c>
      <c r="C1098" s="1" t="n">
        <v>45962</v>
      </c>
      <c r="D1098" t="inlineStr">
        <is>
          <t>SKÅNE LÄN</t>
        </is>
      </c>
      <c r="E1098" t="inlineStr">
        <is>
          <t>ÖSTRA GÖINGE</t>
        </is>
      </c>
      <c r="G1098" t="n">
        <v>0.3</v>
      </c>
      <c r="H1098" t="n">
        <v>0</v>
      </c>
      <c r="I1098" t="n">
        <v>0</v>
      </c>
      <c r="J1098" t="n">
        <v>0</v>
      </c>
      <c r="K1098" t="n">
        <v>0</v>
      </c>
      <c r="L1098" t="n">
        <v>0</v>
      </c>
      <c r="M1098" t="n">
        <v>0</v>
      </c>
      <c r="N1098" t="n">
        <v>0</v>
      </c>
      <c r="O1098" t="n">
        <v>0</v>
      </c>
      <c r="P1098" t="n">
        <v>0</v>
      </c>
      <c r="Q1098" t="n">
        <v>0</v>
      </c>
      <c r="R1098" s="2" t="inlineStr"/>
    </row>
    <row r="1099" ht="15" customHeight="1">
      <c r="A1099" t="inlineStr">
        <is>
          <t>A 6612-2024</t>
        </is>
      </c>
      <c r="B1099" s="1" t="n">
        <v>45341.58859953703</v>
      </c>
      <c r="C1099" s="1" t="n">
        <v>45962</v>
      </c>
      <c r="D1099" t="inlineStr">
        <is>
          <t>SKÅNE LÄN</t>
        </is>
      </c>
      <c r="E1099" t="inlineStr">
        <is>
          <t>HÄSSLEHOLM</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7250-2022</t>
        </is>
      </c>
      <c r="B1100" s="1" t="n">
        <v>44606</v>
      </c>
      <c r="C1100" s="1" t="n">
        <v>45962</v>
      </c>
      <c r="D1100" t="inlineStr">
        <is>
          <t>SKÅNE LÄN</t>
        </is>
      </c>
      <c r="E1100" t="inlineStr">
        <is>
          <t>HÄSSLEHOLM</t>
        </is>
      </c>
      <c r="F1100" t="inlineStr">
        <is>
          <t>Övriga Aktiebolag</t>
        </is>
      </c>
      <c r="G1100" t="n">
        <v>2.6</v>
      </c>
      <c r="H1100" t="n">
        <v>0</v>
      </c>
      <c r="I1100" t="n">
        <v>0</v>
      </c>
      <c r="J1100" t="n">
        <v>0</v>
      </c>
      <c r="K1100" t="n">
        <v>0</v>
      </c>
      <c r="L1100" t="n">
        <v>0</v>
      </c>
      <c r="M1100" t="n">
        <v>0</v>
      </c>
      <c r="N1100" t="n">
        <v>0</v>
      </c>
      <c r="O1100" t="n">
        <v>0</v>
      </c>
      <c r="P1100" t="n">
        <v>0</v>
      </c>
      <c r="Q1100" t="n">
        <v>0</v>
      </c>
      <c r="R1100" s="2" t="inlineStr"/>
    </row>
    <row r="1101" ht="15" customHeight="1">
      <c r="A1101" t="inlineStr">
        <is>
          <t>A 4755-2024</t>
        </is>
      </c>
      <c r="B1101" s="1" t="n">
        <v>45328.66599537037</v>
      </c>
      <c r="C1101" s="1" t="n">
        <v>45962</v>
      </c>
      <c r="D1101" t="inlineStr">
        <is>
          <t>SKÅNE LÄN</t>
        </is>
      </c>
      <c r="E1101" t="inlineStr">
        <is>
          <t>ÄNGELHOLM</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54392-2023</t>
        </is>
      </c>
      <c r="B1102" s="1" t="n">
        <v>45226</v>
      </c>
      <c r="C1102" s="1" t="n">
        <v>45962</v>
      </c>
      <c r="D1102" t="inlineStr">
        <is>
          <t>SKÅNE LÄN</t>
        </is>
      </c>
      <c r="E1102" t="inlineStr">
        <is>
          <t>KRISTIANSTAD</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6616-2022</t>
        </is>
      </c>
      <c r="B1103" s="1" t="n">
        <v>44601.705</v>
      </c>
      <c r="C1103" s="1" t="n">
        <v>45962</v>
      </c>
      <c r="D1103" t="inlineStr">
        <is>
          <t>SKÅNE LÄN</t>
        </is>
      </c>
      <c r="E1103" t="inlineStr">
        <is>
          <t>KRISTIANSTAD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2408-2025</t>
        </is>
      </c>
      <c r="B1104" s="1" t="n">
        <v>45674.36113425926</v>
      </c>
      <c r="C1104" s="1" t="n">
        <v>45962</v>
      </c>
      <c r="D1104" t="inlineStr">
        <is>
          <t>SKÅNE LÄN</t>
        </is>
      </c>
      <c r="E1104" t="inlineStr">
        <is>
          <t>SVEDALA</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2415-2025</t>
        </is>
      </c>
      <c r="B1105" s="1" t="n">
        <v>45674.379375</v>
      </c>
      <c r="C1105" s="1" t="n">
        <v>45962</v>
      </c>
      <c r="D1105" t="inlineStr">
        <is>
          <t>SKÅNE LÄN</t>
        </is>
      </c>
      <c r="E1105" t="inlineStr">
        <is>
          <t>SVEDALA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42653-2024</t>
        </is>
      </c>
      <c r="B1106" s="1" t="n">
        <v>45566.33113425926</v>
      </c>
      <c r="C1106" s="1" t="n">
        <v>45962</v>
      </c>
      <c r="D1106" t="inlineStr">
        <is>
          <t>SKÅNE LÄN</t>
        </is>
      </c>
      <c r="E1106" t="inlineStr">
        <is>
          <t>ÖRKELLJUNGA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2448-2025</t>
        </is>
      </c>
      <c r="B1107" s="1" t="n">
        <v>45674.43166666666</v>
      </c>
      <c r="C1107" s="1" t="n">
        <v>45962</v>
      </c>
      <c r="D1107" t="inlineStr">
        <is>
          <t>SKÅNE LÄN</t>
        </is>
      </c>
      <c r="E1107" t="inlineStr">
        <is>
          <t>BROMÖLLA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3480-2022</t>
        </is>
      </c>
      <c r="B1108" s="1" t="n">
        <v>44585.62603009259</v>
      </c>
      <c r="C1108" s="1" t="n">
        <v>45962</v>
      </c>
      <c r="D1108" t="inlineStr">
        <is>
          <t>SKÅNE LÄN</t>
        </is>
      </c>
      <c r="E1108" t="inlineStr">
        <is>
          <t>HÖÖR</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23470-2024</t>
        </is>
      </c>
      <c r="B1109" s="1" t="n">
        <v>45453</v>
      </c>
      <c r="C1109" s="1" t="n">
        <v>45962</v>
      </c>
      <c r="D1109" t="inlineStr">
        <is>
          <t>SKÅNE LÄN</t>
        </is>
      </c>
      <c r="E1109" t="inlineStr">
        <is>
          <t>OSBY</t>
        </is>
      </c>
      <c r="F1109" t="inlineStr">
        <is>
          <t>Sveaskog</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23476-2024</t>
        </is>
      </c>
      <c r="B1110" s="1" t="n">
        <v>45453</v>
      </c>
      <c r="C1110" s="1" t="n">
        <v>45962</v>
      </c>
      <c r="D1110" t="inlineStr">
        <is>
          <t>SKÅNE LÄN</t>
        </is>
      </c>
      <c r="E1110" t="inlineStr">
        <is>
          <t>OSBY</t>
        </is>
      </c>
      <c r="F1110" t="inlineStr">
        <is>
          <t>Sveaskog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37558-2021</t>
        </is>
      </c>
      <c r="B1111" s="1" t="n">
        <v>44399</v>
      </c>
      <c r="C1111" s="1" t="n">
        <v>45962</v>
      </c>
      <c r="D1111" t="inlineStr">
        <is>
          <t>SKÅNE LÄN</t>
        </is>
      </c>
      <c r="E1111" t="inlineStr">
        <is>
          <t>KRISTIANSTAD</t>
        </is>
      </c>
      <c r="G1111" t="n">
        <v>6.8</v>
      </c>
      <c r="H1111" t="n">
        <v>0</v>
      </c>
      <c r="I1111" t="n">
        <v>0</v>
      </c>
      <c r="J1111" t="n">
        <v>0</v>
      </c>
      <c r="K1111" t="n">
        <v>0</v>
      </c>
      <c r="L1111" t="n">
        <v>0</v>
      </c>
      <c r="M1111" t="n">
        <v>0</v>
      </c>
      <c r="N1111" t="n">
        <v>0</v>
      </c>
      <c r="O1111" t="n">
        <v>0</v>
      </c>
      <c r="P1111" t="n">
        <v>0</v>
      </c>
      <c r="Q1111" t="n">
        <v>0</v>
      </c>
      <c r="R1111" s="2" t="inlineStr"/>
    </row>
    <row r="1112" ht="15" customHeight="1">
      <c r="A1112" t="inlineStr">
        <is>
          <t>A 1886-2025</t>
        </is>
      </c>
      <c r="B1112" s="1" t="n">
        <v>45671</v>
      </c>
      <c r="C1112" s="1" t="n">
        <v>45962</v>
      </c>
      <c r="D1112" t="inlineStr">
        <is>
          <t>SKÅNE LÄN</t>
        </is>
      </c>
      <c r="E1112" t="inlineStr">
        <is>
          <t>HÄSSLEHOLM</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7890-2024</t>
        </is>
      </c>
      <c r="B1113" s="1" t="n">
        <v>45350.40780092592</v>
      </c>
      <c r="C1113" s="1" t="n">
        <v>45962</v>
      </c>
      <c r="D1113" t="inlineStr">
        <is>
          <t>SKÅNE LÄN</t>
        </is>
      </c>
      <c r="E1113" t="inlineStr">
        <is>
          <t>HÄSSLEHOLM</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17492-2025</t>
        </is>
      </c>
      <c r="B1114" s="1" t="n">
        <v>45747</v>
      </c>
      <c r="C1114" s="1" t="n">
        <v>45962</v>
      </c>
      <c r="D1114" t="inlineStr">
        <is>
          <t>SKÅNE LÄN</t>
        </is>
      </c>
      <c r="E1114" t="inlineStr">
        <is>
          <t>HÄSSLEHOLM</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60963-2023</t>
        </is>
      </c>
      <c r="B1115" s="1" t="n">
        <v>45261.46871527778</v>
      </c>
      <c r="C1115" s="1" t="n">
        <v>45962</v>
      </c>
      <c r="D1115" t="inlineStr">
        <is>
          <t>SKÅNE LÄN</t>
        </is>
      </c>
      <c r="E1115" t="inlineStr">
        <is>
          <t>HÖRBY</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51895-2021</t>
        </is>
      </c>
      <c r="B1116" s="1" t="n">
        <v>44462</v>
      </c>
      <c r="C1116" s="1" t="n">
        <v>45962</v>
      </c>
      <c r="D1116" t="inlineStr">
        <is>
          <t>SKÅNE LÄN</t>
        </is>
      </c>
      <c r="E1116" t="inlineStr">
        <is>
          <t>HÄSSLEHOLM</t>
        </is>
      </c>
      <c r="G1116" t="n">
        <v>5.7</v>
      </c>
      <c r="H1116" t="n">
        <v>0</v>
      </c>
      <c r="I1116" t="n">
        <v>0</v>
      </c>
      <c r="J1116" t="n">
        <v>0</v>
      </c>
      <c r="K1116" t="n">
        <v>0</v>
      </c>
      <c r="L1116" t="n">
        <v>0</v>
      </c>
      <c r="M1116" t="n">
        <v>0</v>
      </c>
      <c r="N1116" t="n">
        <v>0</v>
      </c>
      <c r="O1116" t="n">
        <v>0</v>
      </c>
      <c r="P1116" t="n">
        <v>0</v>
      </c>
      <c r="Q1116" t="n">
        <v>0</v>
      </c>
      <c r="R1116" s="2" t="inlineStr"/>
    </row>
    <row r="1117" ht="15" customHeight="1">
      <c r="A1117" t="inlineStr">
        <is>
          <t>A 33816-2022</t>
        </is>
      </c>
      <c r="B1117" s="1" t="n">
        <v>44790</v>
      </c>
      <c r="C1117" s="1" t="n">
        <v>45962</v>
      </c>
      <c r="D1117" t="inlineStr">
        <is>
          <t>SKÅNE LÄN</t>
        </is>
      </c>
      <c r="E1117" t="inlineStr">
        <is>
          <t>OSBY</t>
        </is>
      </c>
      <c r="G1117" t="n">
        <v>2.4</v>
      </c>
      <c r="H1117" t="n">
        <v>0</v>
      </c>
      <c r="I1117" t="n">
        <v>0</v>
      </c>
      <c r="J1117" t="n">
        <v>0</v>
      </c>
      <c r="K1117" t="n">
        <v>0</v>
      </c>
      <c r="L1117" t="n">
        <v>0</v>
      </c>
      <c r="M1117" t="n">
        <v>0</v>
      </c>
      <c r="N1117" t="n">
        <v>0</v>
      </c>
      <c r="O1117" t="n">
        <v>0</v>
      </c>
      <c r="P1117" t="n">
        <v>0</v>
      </c>
      <c r="Q1117" t="n">
        <v>0</v>
      </c>
      <c r="R1117" s="2" t="inlineStr"/>
    </row>
    <row r="1118" ht="15" customHeight="1">
      <c r="A1118" t="inlineStr">
        <is>
          <t>A 36180-2024</t>
        </is>
      </c>
      <c r="B1118" s="1" t="n">
        <v>45534</v>
      </c>
      <c r="C1118" s="1" t="n">
        <v>45962</v>
      </c>
      <c r="D1118" t="inlineStr">
        <is>
          <t>SKÅNE LÄN</t>
        </is>
      </c>
      <c r="E1118" t="inlineStr">
        <is>
          <t>TOMELILLA</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14400-2023</t>
        </is>
      </c>
      <c r="B1119" s="1" t="n">
        <v>45012</v>
      </c>
      <c r="C1119" s="1" t="n">
        <v>45962</v>
      </c>
      <c r="D1119" t="inlineStr">
        <is>
          <t>SKÅNE LÄN</t>
        </is>
      </c>
      <c r="E1119" t="inlineStr">
        <is>
          <t>ÄNGELHOLM</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1901-2025</t>
        </is>
      </c>
      <c r="B1120" s="1" t="n">
        <v>45671</v>
      </c>
      <c r="C1120" s="1" t="n">
        <v>45962</v>
      </c>
      <c r="D1120" t="inlineStr">
        <is>
          <t>SKÅNE LÄN</t>
        </is>
      </c>
      <c r="E1120" t="inlineStr">
        <is>
          <t>SVALÖV</t>
        </is>
      </c>
      <c r="G1120" t="n">
        <v>4.2</v>
      </c>
      <c r="H1120" t="n">
        <v>0</v>
      </c>
      <c r="I1120" t="n">
        <v>0</v>
      </c>
      <c r="J1120" t="n">
        <v>0</v>
      </c>
      <c r="K1120" t="n">
        <v>0</v>
      </c>
      <c r="L1120" t="n">
        <v>0</v>
      </c>
      <c r="M1120" t="n">
        <v>0</v>
      </c>
      <c r="N1120" t="n">
        <v>0</v>
      </c>
      <c r="O1120" t="n">
        <v>0</v>
      </c>
      <c r="P1120" t="n">
        <v>0</v>
      </c>
      <c r="Q1120" t="n">
        <v>0</v>
      </c>
      <c r="R1120" s="2" t="inlineStr"/>
    </row>
    <row r="1121" ht="15" customHeight="1">
      <c r="A1121" t="inlineStr">
        <is>
          <t>A 55587-2021</t>
        </is>
      </c>
      <c r="B1121" s="1" t="n">
        <v>44475</v>
      </c>
      <c r="C1121" s="1" t="n">
        <v>45962</v>
      </c>
      <c r="D1121" t="inlineStr">
        <is>
          <t>SKÅNE LÄN</t>
        </is>
      </c>
      <c r="E1121" t="inlineStr">
        <is>
          <t>KLIPPAN</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55737-2021</t>
        </is>
      </c>
      <c r="B1122" s="1" t="n">
        <v>44476</v>
      </c>
      <c r="C1122" s="1" t="n">
        <v>45962</v>
      </c>
      <c r="D1122" t="inlineStr">
        <is>
          <t>SKÅNE LÄN</t>
        </is>
      </c>
      <c r="E1122" t="inlineStr">
        <is>
          <t>KRISTIANSTAD</t>
        </is>
      </c>
      <c r="F1122" t="inlineStr">
        <is>
          <t>Sveaskog</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26879-2024</t>
        </is>
      </c>
      <c r="B1123" s="1" t="n">
        <v>45470</v>
      </c>
      <c r="C1123" s="1" t="n">
        <v>45962</v>
      </c>
      <c r="D1123" t="inlineStr">
        <is>
          <t>SKÅNE LÄN</t>
        </is>
      </c>
      <c r="E1123" t="inlineStr">
        <is>
          <t>HÄSSLEHOLM</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14430-2023</t>
        </is>
      </c>
      <c r="B1124" s="1" t="n">
        <v>45012</v>
      </c>
      <c r="C1124" s="1" t="n">
        <v>45962</v>
      </c>
      <c r="D1124" t="inlineStr">
        <is>
          <t>SKÅNE LÄN</t>
        </is>
      </c>
      <c r="E1124" t="inlineStr">
        <is>
          <t>ÖRKELLJUNGA</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16441-2023</t>
        </is>
      </c>
      <c r="B1125" s="1" t="n">
        <v>45029</v>
      </c>
      <c r="C1125" s="1" t="n">
        <v>45962</v>
      </c>
      <c r="D1125" t="inlineStr">
        <is>
          <t>SKÅNE LÄN</t>
        </is>
      </c>
      <c r="E1125" t="inlineStr">
        <is>
          <t>ÖSTRA GÖINGE</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24670-2024</t>
        </is>
      </c>
      <c r="B1126" s="1" t="n">
        <v>45460.58565972222</v>
      </c>
      <c r="C1126" s="1" t="n">
        <v>45962</v>
      </c>
      <c r="D1126" t="inlineStr">
        <is>
          <t>SKÅNE LÄN</t>
        </is>
      </c>
      <c r="E1126" t="inlineStr">
        <is>
          <t>HÖRBY</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25822-2022</t>
        </is>
      </c>
      <c r="B1127" s="1" t="n">
        <v>44733.56212962963</v>
      </c>
      <c r="C1127" s="1" t="n">
        <v>45962</v>
      </c>
      <c r="D1127" t="inlineStr">
        <is>
          <t>SKÅNE LÄN</t>
        </is>
      </c>
      <c r="E1127" t="inlineStr">
        <is>
          <t>SIMRISHAMN</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16027-2022</t>
        </is>
      </c>
      <c r="B1128" s="1" t="n">
        <v>44665</v>
      </c>
      <c r="C1128" s="1" t="n">
        <v>45962</v>
      </c>
      <c r="D1128" t="inlineStr">
        <is>
          <t>SKÅNE LÄN</t>
        </is>
      </c>
      <c r="E1128" t="inlineStr">
        <is>
          <t>TOMELILLA</t>
        </is>
      </c>
      <c r="F1128" t="inlineStr">
        <is>
          <t>Övriga Aktiebolag</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10452-2023</t>
        </is>
      </c>
      <c r="B1129" s="1" t="n">
        <v>44981</v>
      </c>
      <c r="C1129" s="1" t="n">
        <v>45962</v>
      </c>
      <c r="D1129" t="inlineStr">
        <is>
          <t>SKÅNE LÄN</t>
        </is>
      </c>
      <c r="E1129" t="inlineStr">
        <is>
          <t>HÖÖR</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24241-2023</t>
        </is>
      </c>
      <c r="B1130" s="1" t="n">
        <v>45079.61476851852</v>
      </c>
      <c r="C1130" s="1" t="n">
        <v>45962</v>
      </c>
      <c r="D1130" t="inlineStr">
        <is>
          <t>SKÅNE LÄN</t>
        </is>
      </c>
      <c r="E1130" t="inlineStr">
        <is>
          <t>HÄSSLEHOLM</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54473-2023</t>
        </is>
      </c>
      <c r="B1131" s="1" t="n">
        <v>45233</v>
      </c>
      <c r="C1131" s="1" t="n">
        <v>45962</v>
      </c>
      <c r="D1131" t="inlineStr">
        <is>
          <t>SKÅNE LÄN</t>
        </is>
      </c>
      <c r="E1131" t="inlineStr">
        <is>
          <t>HÄSSLEHOLM</t>
        </is>
      </c>
      <c r="G1131" t="n">
        <v>24.5</v>
      </c>
      <c r="H1131" t="n">
        <v>0</v>
      </c>
      <c r="I1131" t="n">
        <v>0</v>
      </c>
      <c r="J1131" t="n">
        <v>0</v>
      </c>
      <c r="K1131" t="n">
        <v>0</v>
      </c>
      <c r="L1131" t="n">
        <v>0</v>
      </c>
      <c r="M1131" t="n">
        <v>0</v>
      </c>
      <c r="N1131" t="n">
        <v>0</v>
      </c>
      <c r="O1131" t="n">
        <v>0</v>
      </c>
      <c r="P1131" t="n">
        <v>0</v>
      </c>
      <c r="Q1131" t="n">
        <v>0</v>
      </c>
      <c r="R1131" s="2" t="inlineStr"/>
    </row>
    <row r="1132" ht="15" customHeight="1">
      <c r="A1132" t="inlineStr">
        <is>
          <t>A 11240-2023</t>
        </is>
      </c>
      <c r="B1132" s="1" t="n">
        <v>44992</v>
      </c>
      <c r="C1132" s="1" t="n">
        <v>45962</v>
      </c>
      <c r="D1132" t="inlineStr">
        <is>
          <t>SKÅNE LÄN</t>
        </is>
      </c>
      <c r="E1132" t="inlineStr">
        <is>
          <t>HÄSSLEHOLM</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2950-2024</t>
        </is>
      </c>
      <c r="B1133" s="1" t="n">
        <v>45315</v>
      </c>
      <c r="C1133" s="1" t="n">
        <v>45962</v>
      </c>
      <c r="D1133" t="inlineStr">
        <is>
          <t>SKÅNE LÄN</t>
        </is>
      </c>
      <c r="E1133" t="inlineStr">
        <is>
          <t>HÖÖR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5488-2024</t>
        </is>
      </c>
      <c r="B1134" s="1" t="n">
        <v>45334</v>
      </c>
      <c r="C1134" s="1" t="n">
        <v>45962</v>
      </c>
      <c r="D1134" t="inlineStr">
        <is>
          <t>SKÅNE LÄN</t>
        </is>
      </c>
      <c r="E1134" t="inlineStr">
        <is>
          <t>SIMRISHAMN</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48132-2024</t>
        </is>
      </c>
      <c r="B1135" s="1" t="n">
        <v>45589.65177083333</v>
      </c>
      <c r="C1135" s="1" t="n">
        <v>45962</v>
      </c>
      <c r="D1135" t="inlineStr">
        <is>
          <t>SKÅNE LÄN</t>
        </is>
      </c>
      <c r="E1135" t="inlineStr">
        <is>
          <t>OSBY</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48137-2024</t>
        </is>
      </c>
      <c r="B1136" s="1" t="n">
        <v>45589.65980324074</v>
      </c>
      <c r="C1136" s="1" t="n">
        <v>45962</v>
      </c>
      <c r="D1136" t="inlineStr">
        <is>
          <t>SKÅNE LÄN</t>
        </is>
      </c>
      <c r="E1136" t="inlineStr">
        <is>
          <t>OSBY</t>
        </is>
      </c>
      <c r="G1136" t="n">
        <v>3.8</v>
      </c>
      <c r="H1136" t="n">
        <v>0</v>
      </c>
      <c r="I1136" t="n">
        <v>0</v>
      </c>
      <c r="J1136" t="n">
        <v>0</v>
      </c>
      <c r="K1136" t="n">
        <v>0</v>
      </c>
      <c r="L1136" t="n">
        <v>0</v>
      </c>
      <c r="M1136" t="n">
        <v>0</v>
      </c>
      <c r="N1136" t="n">
        <v>0</v>
      </c>
      <c r="O1136" t="n">
        <v>0</v>
      </c>
      <c r="P1136" t="n">
        <v>0</v>
      </c>
      <c r="Q1136" t="n">
        <v>0</v>
      </c>
      <c r="R1136" s="2" t="inlineStr"/>
    </row>
    <row r="1137" ht="15" customHeight="1">
      <c r="A1137" t="inlineStr">
        <is>
          <t>A 5128-2023</t>
        </is>
      </c>
      <c r="B1137" s="1" t="n">
        <v>44958</v>
      </c>
      <c r="C1137" s="1" t="n">
        <v>45962</v>
      </c>
      <c r="D1137" t="inlineStr">
        <is>
          <t>SKÅNE LÄN</t>
        </is>
      </c>
      <c r="E1137" t="inlineStr">
        <is>
          <t>ÖSTRA GÖINGE</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5134-2023</t>
        </is>
      </c>
      <c r="B1138" s="1" t="n">
        <v>44958.76020833333</v>
      </c>
      <c r="C1138" s="1" t="n">
        <v>45962</v>
      </c>
      <c r="D1138" t="inlineStr">
        <is>
          <t>SKÅNE LÄN</t>
        </is>
      </c>
      <c r="E1138" t="inlineStr">
        <is>
          <t>ÖSTRA GÖINGE</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46728-2023</t>
        </is>
      </c>
      <c r="B1139" s="1" t="n">
        <v>45198</v>
      </c>
      <c r="C1139" s="1" t="n">
        <v>45962</v>
      </c>
      <c r="D1139" t="inlineStr">
        <is>
          <t>SKÅNE LÄN</t>
        </is>
      </c>
      <c r="E1139" t="inlineStr">
        <is>
          <t>KLIPPAN</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7541-2025</t>
        </is>
      </c>
      <c r="B1140" s="1" t="n">
        <v>45705.57094907408</v>
      </c>
      <c r="C1140" s="1" t="n">
        <v>45962</v>
      </c>
      <c r="D1140" t="inlineStr">
        <is>
          <t>SKÅNE LÄN</t>
        </is>
      </c>
      <c r="E1140" t="inlineStr">
        <is>
          <t>ÖRKELLJUNGA</t>
        </is>
      </c>
      <c r="G1140" t="n">
        <v>6.2</v>
      </c>
      <c r="H1140" t="n">
        <v>0</v>
      </c>
      <c r="I1140" t="n">
        <v>0</v>
      </c>
      <c r="J1140" t="n">
        <v>0</v>
      </c>
      <c r="K1140" t="n">
        <v>0</v>
      </c>
      <c r="L1140" t="n">
        <v>0</v>
      </c>
      <c r="M1140" t="n">
        <v>0</v>
      </c>
      <c r="N1140" t="n">
        <v>0</v>
      </c>
      <c r="O1140" t="n">
        <v>0</v>
      </c>
      <c r="P1140" t="n">
        <v>0</v>
      </c>
      <c r="Q1140" t="n">
        <v>0</v>
      </c>
      <c r="R1140" s="2" t="inlineStr"/>
    </row>
    <row r="1141" ht="15" customHeight="1">
      <c r="A1141" t="inlineStr">
        <is>
          <t>A 15993-2024</t>
        </is>
      </c>
      <c r="B1141" s="1" t="n">
        <v>45405</v>
      </c>
      <c r="C1141" s="1" t="n">
        <v>45962</v>
      </c>
      <c r="D1141" t="inlineStr">
        <is>
          <t>SKÅNE LÄN</t>
        </is>
      </c>
      <c r="E1141" t="inlineStr">
        <is>
          <t>ÖSTRA GÖINGE</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21310-2022</t>
        </is>
      </c>
      <c r="B1142" s="1" t="n">
        <v>44705</v>
      </c>
      <c r="C1142" s="1" t="n">
        <v>45962</v>
      </c>
      <c r="D1142" t="inlineStr">
        <is>
          <t>SKÅNE LÄN</t>
        </is>
      </c>
      <c r="E1142" t="inlineStr">
        <is>
          <t>HÄSSLEHOLM</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25617-2024</t>
        </is>
      </c>
      <c r="B1143" s="1" t="n">
        <v>45463</v>
      </c>
      <c r="C1143" s="1" t="n">
        <v>45962</v>
      </c>
      <c r="D1143" t="inlineStr">
        <is>
          <t>SKÅNE LÄN</t>
        </is>
      </c>
      <c r="E1143" t="inlineStr">
        <is>
          <t>SKURUP</t>
        </is>
      </c>
      <c r="G1143" t="n">
        <v>2.3</v>
      </c>
      <c r="H1143" t="n">
        <v>0</v>
      </c>
      <c r="I1143" t="n">
        <v>0</v>
      </c>
      <c r="J1143" t="n">
        <v>0</v>
      </c>
      <c r="K1143" t="n">
        <v>0</v>
      </c>
      <c r="L1143" t="n">
        <v>0</v>
      </c>
      <c r="M1143" t="n">
        <v>0</v>
      </c>
      <c r="N1143" t="n">
        <v>0</v>
      </c>
      <c r="O1143" t="n">
        <v>0</v>
      </c>
      <c r="P1143" t="n">
        <v>0</v>
      </c>
      <c r="Q1143" t="n">
        <v>0</v>
      </c>
      <c r="R1143" s="2" t="inlineStr"/>
    </row>
    <row r="1144" ht="15" customHeight="1">
      <c r="A1144" t="inlineStr">
        <is>
          <t>A 16670-2025</t>
        </is>
      </c>
      <c r="B1144" s="1" t="n">
        <v>45754.43791666667</v>
      </c>
      <c r="C1144" s="1" t="n">
        <v>45962</v>
      </c>
      <c r="D1144" t="inlineStr">
        <is>
          <t>SKÅNE LÄN</t>
        </is>
      </c>
      <c r="E1144" t="inlineStr">
        <is>
          <t>ESLÖV</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31649-2023</t>
        </is>
      </c>
      <c r="B1145" s="1" t="n">
        <v>45117.60016203704</v>
      </c>
      <c r="C1145" s="1" t="n">
        <v>45962</v>
      </c>
      <c r="D1145" t="inlineStr">
        <is>
          <t>SKÅNE LÄN</t>
        </is>
      </c>
      <c r="E1145" t="inlineStr">
        <is>
          <t>BROMÖLLA</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34466-2023</t>
        </is>
      </c>
      <c r="B1146" s="1" t="n">
        <v>45139</v>
      </c>
      <c r="C1146" s="1" t="n">
        <v>45962</v>
      </c>
      <c r="D1146" t="inlineStr">
        <is>
          <t>SKÅNE LÄN</t>
        </is>
      </c>
      <c r="E1146" t="inlineStr">
        <is>
          <t>ESLÖV</t>
        </is>
      </c>
      <c r="G1146" t="n">
        <v>4.3</v>
      </c>
      <c r="H1146" t="n">
        <v>0</v>
      </c>
      <c r="I1146" t="n">
        <v>0</v>
      </c>
      <c r="J1146" t="n">
        <v>0</v>
      </c>
      <c r="K1146" t="n">
        <v>0</v>
      </c>
      <c r="L1146" t="n">
        <v>0</v>
      </c>
      <c r="M1146" t="n">
        <v>0</v>
      </c>
      <c r="N1146" t="n">
        <v>0</v>
      </c>
      <c r="O1146" t="n">
        <v>0</v>
      </c>
      <c r="P1146" t="n">
        <v>0</v>
      </c>
      <c r="Q1146" t="n">
        <v>0</v>
      </c>
      <c r="R1146" s="2" t="inlineStr"/>
    </row>
    <row r="1147" ht="15" customHeight="1">
      <c r="A1147" t="inlineStr">
        <is>
          <t>A 54869-2023</t>
        </is>
      </c>
      <c r="B1147" s="1" t="n">
        <v>45229</v>
      </c>
      <c r="C1147" s="1" t="n">
        <v>45962</v>
      </c>
      <c r="D1147" t="inlineStr">
        <is>
          <t>SKÅNE LÄN</t>
        </is>
      </c>
      <c r="E1147" t="inlineStr">
        <is>
          <t>ÖSTRA GÖINGE</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27613-2024</t>
        </is>
      </c>
      <c r="B1148" s="1" t="n">
        <v>45474</v>
      </c>
      <c r="C1148" s="1" t="n">
        <v>45962</v>
      </c>
      <c r="D1148" t="inlineStr">
        <is>
          <t>SKÅNE LÄN</t>
        </is>
      </c>
      <c r="E1148" t="inlineStr">
        <is>
          <t>KRISTIANSTAD</t>
        </is>
      </c>
      <c r="G1148" t="n">
        <v>4.6</v>
      </c>
      <c r="H1148" t="n">
        <v>0</v>
      </c>
      <c r="I1148" t="n">
        <v>0</v>
      </c>
      <c r="J1148" t="n">
        <v>0</v>
      </c>
      <c r="K1148" t="n">
        <v>0</v>
      </c>
      <c r="L1148" t="n">
        <v>0</v>
      </c>
      <c r="M1148" t="n">
        <v>0</v>
      </c>
      <c r="N1148" t="n">
        <v>0</v>
      </c>
      <c r="O1148" t="n">
        <v>0</v>
      </c>
      <c r="P1148" t="n">
        <v>0</v>
      </c>
      <c r="Q1148" t="n">
        <v>0</v>
      </c>
      <c r="R1148" s="2" t="inlineStr"/>
    </row>
    <row r="1149" ht="15" customHeight="1">
      <c r="A1149" t="inlineStr">
        <is>
          <t>A 23874-2022</t>
        </is>
      </c>
      <c r="B1149" s="1" t="n">
        <v>44722</v>
      </c>
      <c r="C1149" s="1" t="n">
        <v>45962</v>
      </c>
      <c r="D1149" t="inlineStr">
        <is>
          <t>SKÅNE LÄN</t>
        </is>
      </c>
      <c r="E1149" t="inlineStr">
        <is>
          <t>KLIPPAN</t>
        </is>
      </c>
      <c r="G1149" t="n">
        <v>7.8</v>
      </c>
      <c r="H1149" t="n">
        <v>0</v>
      </c>
      <c r="I1149" t="n">
        <v>0</v>
      </c>
      <c r="J1149" t="n">
        <v>0</v>
      </c>
      <c r="K1149" t="n">
        <v>0</v>
      </c>
      <c r="L1149" t="n">
        <v>0</v>
      </c>
      <c r="M1149" t="n">
        <v>0</v>
      </c>
      <c r="N1149" t="n">
        <v>0</v>
      </c>
      <c r="O1149" t="n">
        <v>0</v>
      </c>
      <c r="P1149" t="n">
        <v>0</v>
      </c>
      <c r="Q1149" t="n">
        <v>0</v>
      </c>
      <c r="R1149" s="2" t="inlineStr"/>
    </row>
    <row r="1150" ht="15" customHeight="1">
      <c r="A1150" t="inlineStr">
        <is>
          <t>A 3500-2024</t>
        </is>
      </c>
      <c r="B1150" s="1" t="n">
        <v>45320</v>
      </c>
      <c r="C1150" s="1" t="n">
        <v>45962</v>
      </c>
      <c r="D1150" t="inlineStr">
        <is>
          <t>SKÅNE LÄN</t>
        </is>
      </c>
      <c r="E1150" t="inlineStr">
        <is>
          <t>HÄSSLEHOLM</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58815-2023</t>
        </is>
      </c>
      <c r="B1151" s="1" t="n">
        <v>45247</v>
      </c>
      <c r="C1151" s="1" t="n">
        <v>45962</v>
      </c>
      <c r="D1151" t="inlineStr">
        <is>
          <t>SKÅNE LÄN</t>
        </is>
      </c>
      <c r="E1151" t="inlineStr">
        <is>
          <t>HÄSSLEHOLM</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7707-2025</t>
        </is>
      </c>
      <c r="B1152" s="1" t="n">
        <v>45705</v>
      </c>
      <c r="C1152" s="1" t="n">
        <v>45962</v>
      </c>
      <c r="D1152" t="inlineStr">
        <is>
          <t>SKÅNE LÄN</t>
        </is>
      </c>
      <c r="E1152" t="inlineStr">
        <is>
          <t>ÄNGELHOLM</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60778-2023</t>
        </is>
      </c>
      <c r="B1153" s="1" t="n">
        <v>45260</v>
      </c>
      <c r="C1153" s="1" t="n">
        <v>45962</v>
      </c>
      <c r="D1153" t="inlineStr">
        <is>
          <t>SKÅNE LÄN</t>
        </is>
      </c>
      <c r="E1153" t="inlineStr">
        <is>
          <t>SJÖBO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60213-2024</t>
        </is>
      </c>
      <c r="B1154" s="1" t="n">
        <v>45642</v>
      </c>
      <c r="C1154" s="1" t="n">
        <v>45962</v>
      </c>
      <c r="D1154" t="inlineStr">
        <is>
          <t>SKÅNE LÄN</t>
        </is>
      </c>
      <c r="E1154" t="inlineStr">
        <is>
          <t>BROMÖLLA</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64091-2023</t>
        </is>
      </c>
      <c r="B1155" s="1" t="n">
        <v>45279</v>
      </c>
      <c r="C1155" s="1" t="n">
        <v>45962</v>
      </c>
      <c r="D1155" t="inlineStr">
        <is>
          <t>SKÅNE LÄN</t>
        </is>
      </c>
      <c r="E1155" t="inlineStr">
        <is>
          <t>ÖRKELLJUNGA</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16108-2025</t>
        </is>
      </c>
      <c r="B1156" s="1" t="n">
        <v>45750.34667824074</v>
      </c>
      <c r="C1156" s="1" t="n">
        <v>45962</v>
      </c>
      <c r="D1156" t="inlineStr">
        <is>
          <t>SKÅNE LÄN</t>
        </is>
      </c>
      <c r="E1156" t="inlineStr">
        <is>
          <t>HÄSSLEHOLM</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44842-2024</t>
        </is>
      </c>
      <c r="B1157" s="1" t="n">
        <v>45574.720625</v>
      </c>
      <c r="C1157" s="1" t="n">
        <v>45962</v>
      </c>
      <c r="D1157" t="inlineStr">
        <is>
          <t>SKÅNE LÄN</t>
        </is>
      </c>
      <c r="E1157" t="inlineStr">
        <is>
          <t>ÖSTRA GÖINGE</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4363-2025</t>
        </is>
      </c>
      <c r="B1158" s="1" t="n">
        <v>45686.33894675926</v>
      </c>
      <c r="C1158" s="1" t="n">
        <v>45962</v>
      </c>
      <c r="D1158" t="inlineStr">
        <is>
          <t>SKÅNE LÄN</t>
        </is>
      </c>
      <c r="E1158" t="inlineStr">
        <is>
          <t>OSBY</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5987-2022</t>
        </is>
      </c>
      <c r="B1159" s="1" t="n">
        <v>44599.41950231481</v>
      </c>
      <c r="C1159" s="1" t="n">
        <v>45962</v>
      </c>
      <c r="D1159" t="inlineStr">
        <is>
          <t>SKÅNE LÄN</t>
        </is>
      </c>
      <c r="E1159" t="inlineStr">
        <is>
          <t>KRISTIANSTAD</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48326-2023</t>
        </is>
      </c>
      <c r="B1160" s="1" t="n">
        <v>45205</v>
      </c>
      <c r="C1160" s="1" t="n">
        <v>45962</v>
      </c>
      <c r="D1160" t="inlineStr">
        <is>
          <t>SKÅNE LÄN</t>
        </is>
      </c>
      <c r="E1160" t="inlineStr">
        <is>
          <t>HÄSSLEHOLM</t>
        </is>
      </c>
      <c r="G1160" t="n">
        <v>12.7</v>
      </c>
      <c r="H1160" t="n">
        <v>0</v>
      </c>
      <c r="I1160" t="n">
        <v>0</v>
      </c>
      <c r="J1160" t="n">
        <v>0</v>
      </c>
      <c r="K1160" t="n">
        <v>0</v>
      </c>
      <c r="L1160" t="n">
        <v>0</v>
      </c>
      <c r="M1160" t="n">
        <v>0</v>
      </c>
      <c r="N1160" t="n">
        <v>0</v>
      </c>
      <c r="O1160" t="n">
        <v>0</v>
      </c>
      <c r="P1160" t="n">
        <v>0</v>
      </c>
      <c r="Q1160" t="n">
        <v>0</v>
      </c>
      <c r="R1160" s="2" t="inlineStr"/>
    </row>
    <row r="1161" ht="15" customHeight="1">
      <c r="A1161" t="inlineStr">
        <is>
          <t>A 33597-2023</t>
        </is>
      </c>
      <c r="B1161" s="1" t="n">
        <v>45132</v>
      </c>
      <c r="C1161" s="1" t="n">
        <v>45962</v>
      </c>
      <c r="D1161" t="inlineStr">
        <is>
          <t>SKÅNE LÄN</t>
        </is>
      </c>
      <c r="E1161" t="inlineStr">
        <is>
          <t>HÄSSLEHOLM</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33599-2023</t>
        </is>
      </c>
      <c r="B1162" s="1" t="n">
        <v>45132</v>
      </c>
      <c r="C1162" s="1" t="n">
        <v>45962</v>
      </c>
      <c r="D1162" t="inlineStr">
        <is>
          <t>SKÅNE LÄN</t>
        </is>
      </c>
      <c r="E1162" t="inlineStr">
        <is>
          <t>HÄSSLEHOLM</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27173-2024</t>
        </is>
      </c>
      <c r="B1163" s="1" t="n">
        <v>45471.57048611111</v>
      </c>
      <c r="C1163" s="1" t="n">
        <v>45962</v>
      </c>
      <c r="D1163" t="inlineStr">
        <is>
          <t>SKÅNE LÄN</t>
        </is>
      </c>
      <c r="E1163" t="inlineStr">
        <is>
          <t>HÄSSLEHOLM</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6020-2022</t>
        </is>
      </c>
      <c r="B1164" s="1" t="n">
        <v>44599</v>
      </c>
      <c r="C1164" s="1" t="n">
        <v>45962</v>
      </c>
      <c r="D1164" t="inlineStr">
        <is>
          <t>SKÅNE LÄN</t>
        </is>
      </c>
      <c r="E1164" t="inlineStr">
        <is>
          <t>ÖRKELLJUNGA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2979-2024</t>
        </is>
      </c>
      <c r="B1165" s="1" t="n">
        <v>45315</v>
      </c>
      <c r="C1165" s="1" t="n">
        <v>45962</v>
      </c>
      <c r="D1165" t="inlineStr">
        <is>
          <t>SKÅNE LÄN</t>
        </is>
      </c>
      <c r="E1165" t="inlineStr">
        <is>
          <t>HÖRBY</t>
        </is>
      </c>
      <c r="F1165" t="inlineStr">
        <is>
          <t>Kyrkan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7333-2025</t>
        </is>
      </c>
      <c r="B1166" s="1" t="n">
        <v>45703.35899305555</v>
      </c>
      <c r="C1166" s="1" t="n">
        <v>45962</v>
      </c>
      <c r="D1166" t="inlineStr">
        <is>
          <t>SKÅNE LÄN</t>
        </is>
      </c>
      <c r="E1166" t="inlineStr">
        <is>
          <t>HELSINGBORG</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6533-2024</t>
        </is>
      </c>
      <c r="B1167" s="1" t="n">
        <v>45341.38024305556</v>
      </c>
      <c r="C1167" s="1" t="n">
        <v>45962</v>
      </c>
      <c r="D1167" t="inlineStr">
        <is>
          <t>SKÅNE LÄN</t>
        </is>
      </c>
      <c r="E1167" t="inlineStr">
        <is>
          <t>HÖRBY</t>
        </is>
      </c>
      <c r="F1167" t="inlineStr">
        <is>
          <t>Sveaskog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40366-2021</t>
        </is>
      </c>
      <c r="B1168" s="1" t="n">
        <v>44419</v>
      </c>
      <c r="C1168" s="1" t="n">
        <v>45962</v>
      </c>
      <c r="D1168" t="inlineStr">
        <is>
          <t>SKÅNE LÄN</t>
        </is>
      </c>
      <c r="E1168" t="inlineStr">
        <is>
          <t>KRISTIANSTAD</t>
        </is>
      </c>
      <c r="F1168" t="inlineStr">
        <is>
          <t>Kommuner</t>
        </is>
      </c>
      <c r="G1168" t="n">
        <v>6.2</v>
      </c>
      <c r="H1168" t="n">
        <v>0</v>
      </c>
      <c r="I1168" t="n">
        <v>0</v>
      </c>
      <c r="J1168" t="n">
        <v>0</v>
      </c>
      <c r="K1168" t="n">
        <v>0</v>
      </c>
      <c r="L1168" t="n">
        <v>0</v>
      </c>
      <c r="M1168" t="n">
        <v>0</v>
      </c>
      <c r="N1168" t="n">
        <v>0</v>
      </c>
      <c r="O1168" t="n">
        <v>0</v>
      </c>
      <c r="P1168" t="n">
        <v>0</v>
      </c>
      <c r="Q1168" t="n">
        <v>0</v>
      </c>
      <c r="R1168" s="2" t="inlineStr"/>
    </row>
    <row r="1169" ht="15" customHeight="1">
      <c r="A1169" t="inlineStr">
        <is>
          <t>A 50664-2023</t>
        </is>
      </c>
      <c r="B1169" s="1" t="n">
        <v>45217</v>
      </c>
      <c r="C1169" s="1" t="n">
        <v>45962</v>
      </c>
      <c r="D1169" t="inlineStr">
        <is>
          <t>SKÅNE LÄN</t>
        </is>
      </c>
      <c r="E1169" t="inlineStr">
        <is>
          <t>HÄSSLEHOLM</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44882-2022</t>
        </is>
      </c>
      <c r="B1170" s="1" t="n">
        <v>44841</v>
      </c>
      <c r="C1170" s="1" t="n">
        <v>45962</v>
      </c>
      <c r="D1170" t="inlineStr">
        <is>
          <t>SKÅNE LÄN</t>
        </is>
      </c>
      <c r="E1170" t="inlineStr">
        <is>
          <t>ÖRKELLJUNGA</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10020-2024</t>
        </is>
      </c>
      <c r="B1171" s="1" t="n">
        <v>45363.96944444445</v>
      </c>
      <c r="C1171" s="1" t="n">
        <v>45962</v>
      </c>
      <c r="D1171" t="inlineStr">
        <is>
          <t>SKÅNE LÄN</t>
        </is>
      </c>
      <c r="E1171" t="inlineStr">
        <is>
          <t>HÄSSLEHOLM</t>
        </is>
      </c>
      <c r="G1171" t="n">
        <v>5.3</v>
      </c>
      <c r="H1171" t="n">
        <v>0</v>
      </c>
      <c r="I1171" t="n">
        <v>0</v>
      </c>
      <c r="J1171" t="n">
        <v>0</v>
      </c>
      <c r="K1171" t="n">
        <v>0</v>
      </c>
      <c r="L1171" t="n">
        <v>0</v>
      </c>
      <c r="M1171" t="n">
        <v>0</v>
      </c>
      <c r="N1171" t="n">
        <v>0</v>
      </c>
      <c r="O1171" t="n">
        <v>0</v>
      </c>
      <c r="P1171" t="n">
        <v>0</v>
      </c>
      <c r="Q1171" t="n">
        <v>0</v>
      </c>
      <c r="R1171" s="2" t="inlineStr"/>
    </row>
    <row r="1172" ht="15" customHeight="1">
      <c r="A1172" t="inlineStr">
        <is>
          <t>A 33988-2023</t>
        </is>
      </c>
      <c r="B1172" s="1" t="n">
        <v>45134.8561574074</v>
      </c>
      <c r="C1172" s="1" t="n">
        <v>45962</v>
      </c>
      <c r="D1172" t="inlineStr">
        <is>
          <t>SKÅNE LÄN</t>
        </is>
      </c>
      <c r="E1172" t="inlineStr">
        <is>
          <t>KRISTIANSTAD</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43685-2022</t>
        </is>
      </c>
      <c r="B1173" s="1" t="n">
        <v>44837</v>
      </c>
      <c r="C1173" s="1" t="n">
        <v>45962</v>
      </c>
      <c r="D1173" t="inlineStr">
        <is>
          <t>SKÅNE LÄN</t>
        </is>
      </c>
      <c r="E1173" t="inlineStr">
        <is>
          <t>HÖRBY</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31391-2021</t>
        </is>
      </c>
      <c r="B1174" s="1" t="n">
        <v>44368</v>
      </c>
      <c r="C1174" s="1" t="n">
        <v>45962</v>
      </c>
      <c r="D1174" t="inlineStr">
        <is>
          <t>SKÅNE LÄN</t>
        </is>
      </c>
      <c r="E1174" t="inlineStr">
        <is>
          <t>ÖSTRA GÖINGE</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12048-2025</t>
        </is>
      </c>
      <c r="B1175" s="1" t="n">
        <v>45728.6678587963</v>
      </c>
      <c r="C1175" s="1" t="n">
        <v>45962</v>
      </c>
      <c r="D1175" t="inlineStr">
        <is>
          <t>SKÅNE LÄN</t>
        </is>
      </c>
      <c r="E1175" t="inlineStr">
        <is>
          <t>ÖSTRA GÖINGE</t>
        </is>
      </c>
      <c r="F1175" t="inlineStr">
        <is>
          <t>Sveaskog</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9142-2025</t>
        </is>
      </c>
      <c r="B1176" s="1" t="n">
        <v>45714.31886574074</v>
      </c>
      <c r="C1176" s="1" t="n">
        <v>45962</v>
      </c>
      <c r="D1176" t="inlineStr">
        <is>
          <t>SKÅNE LÄN</t>
        </is>
      </c>
      <c r="E1176" t="inlineStr">
        <is>
          <t>KLIPPAN</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69375-2021</t>
        </is>
      </c>
      <c r="B1177" s="1" t="n">
        <v>44531</v>
      </c>
      <c r="C1177" s="1" t="n">
        <v>45962</v>
      </c>
      <c r="D1177" t="inlineStr">
        <is>
          <t>SKÅNE LÄN</t>
        </is>
      </c>
      <c r="E1177" t="inlineStr">
        <is>
          <t>ÖSTRA GÖINGE</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69393-2021</t>
        </is>
      </c>
      <c r="B1178" s="1" t="n">
        <v>44531</v>
      </c>
      <c r="C1178" s="1" t="n">
        <v>45962</v>
      </c>
      <c r="D1178" t="inlineStr">
        <is>
          <t>SKÅNE LÄN</t>
        </is>
      </c>
      <c r="E1178" t="inlineStr">
        <is>
          <t>ÖSTRA GÖINGE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70087-2021</t>
        </is>
      </c>
      <c r="B1179" s="1" t="n">
        <v>44533</v>
      </c>
      <c r="C1179" s="1" t="n">
        <v>45962</v>
      </c>
      <c r="D1179" t="inlineStr">
        <is>
          <t>SKÅNE LÄN</t>
        </is>
      </c>
      <c r="E1179" t="inlineStr">
        <is>
          <t>HÄSSLEHOLM</t>
        </is>
      </c>
      <c r="G1179" t="n">
        <v>5</v>
      </c>
      <c r="H1179" t="n">
        <v>0</v>
      </c>
      <c r="I1179" t="n">
        <v>0</v>
      </c>
      <c r="J1179" t="n">
        <v>0</v>
      </c>
      <c r="K1179" t="n">
        <v>0</v>
      </c>
      <c r="L1179" t="n">
        <v>0</v>
      </c>
      <c r="M1179" t="n">
        <v>0</v>
      </c>
      <c r="N1179" t="n">
        <v>0</v>
      </c>
      <c r="O1179" t="n">
        <v>0</v>
      </c>
      <c r="P1179" t="n">
        <v>0</v>
      </c>
      <c r="Q1179" t="n">
        <v>0</v>
      </c>
      <c r="R1179" s="2" t="inlineStr"/>
    </row>
    <row r="1180" ht="15" customHeight="1">
      <c r="A1180" t="inlineStr">
        <is>
          <t>A 4833-2025</t>
        </is>
      </c>
      <c r="B1180" s="1" t="n">
        <v>45688.65921296296</v>
      </c>
      <c r="C1180" s="1" t="n">
        <v>45962</v>
      </c>
      <c r="D1180" t="inlineStr">
        <is>
          <t>SKÅNE LÄN</t>
        </is>
      </c>
      <c r="E1180" t="inlineStr">
        <is>
          <t>OSBY</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53977-2022</t>
        </is>
      </c>
      <c r="B1181" s="1" t="n">
        <v>44876</v>
      </c>
      <c r="C1181" s="1" t="n">
        <v>45962</v>
      </c>
      <c r="D1181" t="inlineStr">
        <is>
          <t>SKÅNE LÄN</t>
        </is>
      </c>
      <c r="E1181" t="inlineStr">
        <is>
          <t>TOMELILLA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53982-2022</t>
        </is>
      </c>
      <c r="B1182" s="1" t="n">
        <v>44876</v>
      </c>
      <c r="C1182" s="1" t="n">
        <v>45962</v>
      </c>
      <c r="D1182" t="inlineStr">
        <is>
          <t>SKÅNE LÄN</t>
        </is>
      </c>
      <c r="E1182" t="inlineStr">
        <is>
          <t>KRISTIANSTAD</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23402-2023</t>
        </is>
      </c>
      <c r="B1183" s="1" t="n">
        <v>45076.47388888889</v>
      </c>
      <c r="C1183" s="1" t="n">
        <v>45962</v>
      </c>
      <c r="D1183" t="inlineStr">
        <is>
          <t>SKÅNE LÄN</t>
        </is>
      </c>
      <c r="E1183" t="inlineStr">
        <is>
          <t>ÖSTRA GÖINGE</t>
        </is>
      </c>
      <c r="G1183" t="n">
        <v>2.3</v>
      </c>
      <c r="H1183" t="n">
        <v>0</v>
      </c>
      <c r="I1183" t="n">
        <v>0</v>
      </c>
      <c r="J1183" t="n">
        <v>0</v>
      </c>
      <c r="K1183" t="n">
        <v>0</v>
      </c>
      <c r="L1183" t="n">
        <v>0</v>
      </c>
      <c r="M1183" t="n">
        <v>0</v>
      </c>
      <c r="N1183" t="n">
        <v>0</v>
      </c>
      <c r="O1183" t="n">
        <v>0</v>
      </c>
      <c r="P1183" t="n">
        <v>0</v>
      </c>
      <c r="Q1183" t="n">
        <v>0</v>
      </c>
      <c r="R1183" s="2" t="inlineStr"/>
    </row>
    <row r="1184" ht="15" customHeight="1">
      <c r="A1184" t="inlineStr">
        <is>
          <t>A 23403-2023</t>
        </is>
      </c>
      <c r="B1184" s="1" t="n">
        <v>45076.47741898148</v>
      </c>
      <c r="C1184" s="1" t="n">
        <v>45962</v>
      </c>
      <c r="D1184" t="inlineStr">
        <is>
          <t>SKÅNE LÄN</t>
        </is>
      </c>
      <c r="E1184" t="inlineStr">
        <is>
          <t>ÖSTRA GÖINGE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42428-2022</t>
        </is>
      </c>
      <c r="B1185" s="1" t="n">
        <v>44831</v>
      </c>
      <c r="C1185" s="1" t="n">
        <v>45962</v>
      </c>
      <c r="D1185" t="inlineStr">
        <is>
          <t>SKÅNE LÄN</t>
        </is>
      </c>
      <c r="E1185" t="inlineStr">
        <is>
          <t>HÄSSLEHOLM</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5131-2023</t>
        </is>
      </c>
      <c r="B1186" s="1" t="n">
        <v>44958.74996527778</v>
      </c>
      <c r="C1186" s="1" t="n">
        <v>45962</v>
      </c>
      <c r="D1186" t="inlineStr">
        <is>
          <t>SKÅNE LÄN</t>
        </is>
      </c>
      <c r="E1186" t="inlineStr">
        <is>
          <t>ÖSTRA GÖINGE</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34924-2022</t>
        </is>
      </c>
      <c r="B1187" s="1" t="n">
        <v>44796</v>
      </c>
      <c r="C1187" s="1" t="n">
        <v>45962</v>
      </c>
      <c r="D1187" t="inlineStr">
        <is>
          <t>SKÅNE LÄN</t>
        </is>
      </c>
      <c r="E1187" t="inlineStr">
        <is>
          <t>ÖSTRA GÖINGE</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62156-2022</t>
        </is>
      </c>
      <c r="B1188" s="1" t="n">
        <v>44915</v>
      </c>
      <c r="C1188" s="1" t="n">
        <v>45962</v>
      </c>
      <c r="D1188" t="inlineStr">
        <is>
          <t>SKÅNE LÄN</t>
        </is>
      </c>
      <c r="E1188" t="inlineStr">
        <is>
          <t>KRISTIANSTAD</t>
        </is>
      </c>
      <c r="F1188" t="inlineStr">
        <is>
          <t>Kyrkan</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51861-2024</t>
        </is>
      </c>
      <c r="B1189" s="1" t="n">
        <v>45607.54608796296</v>
      </c>
      <c r="C1189" s="1" t="n">
        <v>45962</v>
      </c>
      <c r="D1189" t="inlineStr">
        <is>
          <t>SKÅNE LÄN</t>
        </is>
      </c>
      <c r="E1189" t="inlineStr">
        <is>
          <t>OSBY</t>
        </is>
      </c>
      <c r="F1189" t="inlineStr">
        <is>
          <t>Sveaskog</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47628-2022</t>
        </is>
      </c>
      <c r="B1190" s="1" t="n">
        <v>44852</v>
      </c>
      <c r="C1190" s="1" t="n">
        <v>45962</v>
      </c>
      <c r="D1190" t="inlineStr">
        <is>
          <t>SKÅNE LÄN</t>
        </is>
      </c>
      <c r="E1190" t="inlineStr">
        <is>
          <t>ÖSTRA GÖINGE</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54518-2022</t>
        </is>
      </c>
      <c r="B1191" s="1" t="n">
        <v>44882</v>
      </c>
      <c r="C1191" s="1" t="n">
        <v>45962</v>
      </c>
      <c r="D1191" t="inlineStr">
        <is>
          <t>SKÅNE LÄN</t>
        </is>
      </c>
      <c r="E1191" t="inlineStr">
        <is>
          <t>HÄSSLEHOLM</t>
        </is>
      </c>
      <c r="F1191" t="inlineStr">
        <is>
          <t>Övriga Aktiebolag</t>
        </is>
      </c>
      <c r="G1191" t="n">
        <v>6.8</v>
      </c>
      <c r="H1191" t="n">
        <v>0</v>
      </c>
      <c r="I1191" t="n">
        <v>0</v>
      </c>
      <c r="J1191" t="n">
        <v>0</v>
      </c>
      <c r="K1191" t="n">
        <v>0</v>
      </c>
      <c r="L1191" t="n">
        <v>0</v>
      </c>
      <c r="M1191" t="n">
        <v>0</v>
      </c>
      <c r="N1191" t="n">
        <v>0</v>
      </c>
      <c r="O1191" t="n">
        <v>0</v>
      </c>
      <c r="P1191" t="n">
        <v>0</v>
      </c>
      <c r="Q1191" t="n">
        <v>0</v>
      </c>
      <c r="R1191" s="2" t="inlineStr"/>
    </row>
    <row r="1192" ht="15" customHeight="1">
      <c r="A1192" t="inlineStr">
        <is>
          <t>A 57491-2024</t>
        </is>
      </c>
      <c r="B1192" s="1" t="n">
        <v>45629</v>
      </c>
      <c r="C1192" s="1" t="n">
        <v>45962</v>
      </c>
      <c r="D1192" t="inlineStr">
        <is>
          <t>SKÅNE LÄN</t>
        </is>
      </c>
      <c r="E1192" t="inlineStr">
        <is>
          <t>HÄSSLEHOLM</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62171-2022</t>
        </is>
      </c>
      <c r="B1193" s="1" t="n">
        <v>44915</v>
      </c>
      <c r="C1193" s="1" t="n">
        <v>45962</v>
      </c>
      <c r="D1193" t="inlineStr">
        <is>
          <t>SKÅNE LÄN</t>
        </is>
      </c>
      <c r="E1193" t="inlineStr">
        <is>
          <t>HÄSSLEHOLM</t>
        </is>
      </c>
      <c r="F1193" t="inlineStr">
        <is>
          <t>Kyrkan</t>
        </is>
      </c>
      <c r="G1193" t="n">
        <v>9</v>
      </c>
      <c r="H1193" t="n">
        <v>0</v>
      </c>
      <c r="I1193" t="n">
        <v>0</v>
      </c>
      <c r="J1193" t="n">
        <v>0</v>
      </c>
      <c r="K1193" t="n">
        <v>0</v>
      </c>
      <c r="L1193" t="n">
        <v>0</v>
      </c>
      <c r="M1193" t="n">
        <v>0</v>
      </c>
      <c r="N1193" t="n">
        <v>0</v>
      </c>
      <c r="O1193" t="n">
        <v>0</v>
      </c>
      <c r="P1193" t="n">
        <v>0</v>
      </c>
      <c r="Q1193" t="n">
        <v>0</v>
      </c>
      <c r="R1193" s="2" t="inlineStr"/>
    </row>
    <row r="1194" ht="15" customHeight="1">
      <c r="A1194" t="inlineStr">
        <is>
          <t>A 56460-2023</t>
        </is>
      </c>
      <c r="B1194" s="1" t="n">
        <v>45243</v>
      </c>
      <c r="C1194" s="1" t="n">
        <v>45962</v>
      </c>
      <c r="D1194" t="inlineStr">
        <is>
          <t>SKÅNE LÄN</t>
        </is>
      </c>
      <c r="E1194" t="inlineStr">
        <is>
          <t>ÖRKELLJUNGA</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15065-2024</t>
        </is>
      </c>
      <c r="B1195" s="1" t="n">
        <v>45399.57625</v>
      </c>
      <c r="C1195" s="1" t="n">
        <v>45962</v>
      </c>
      <c r="D1195" t="inlineStr">
        <is>
          <t>SKÅNE LÄN</t>
        </is>
      </c>
      <c r="E1195" t="inlineStr">
        <is>
          <t>KLIPPAN</t>
        </is>
      </c>
      <c r="F1195" t="inlineStr">
        <is>
          <t>Övriga Aktiebolag</t>
        </is>
      </c>
      <c r="G1195" t="n">
        <v>5.8</v>
      </c>
      <c r="H1195" t="n">
        <v>0</v>
      </c>
      <c r="I1195" t="n">
        <v>0</v>
      </c>
      <c r="J1195" t="n">
        <v>0</v>
      </c>
      <c r="K1195" t="n">
        <v>0</v>
      </c>
      <c r="L1195" t="n">
        <v>0</v>
      </c>
      <c r="M1195" t="n">
        <v>0</v>
      </c>
      <c r="N1195" t="n">
        <v>0</v>
      </c>
      <c r="O1195" t="n">
        <v>0</v>
      </c>
      <c r="P1195" t="n">
        <v>0</v>
      </c>
      <c r="Q1195" t="n">
        <v>0</v>
      </c>
      <c r="R1195" s="2" t="inlineStr"/>
    </row>
    <row r="1196" ht="15" customHeight="1">
      <c r="A1196" t="inlineStr">
        <is>
          <t>A 59302-2023</t>
        </is>
      </c>
      <c r="B1196" s="1" t="n">
        <v>45253</v>
      </c>
      <c r="C1196" s="1" t="n">
        <v>45962</v>
      </c>
      <c r="D1196" t="inlineStr">
        <is>
          <t>SKÅNE LÄN</t>
        </is>
      </c>
      <c r="E1196" t="inlineStr">
        <is>
          <t>KRISTIANSTAD</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52912-2022</t>
        </is>
      </c>
      <c r="B1197" s="1" t="n">
        <v>44872</v>
      </c>
      <c r="C1197" s="1" t="n">
        <v>45962</v>
      </c>
      <c r="D1197" t="inlineStr">
        <is>
          <t>SKÅNE LÄN</t>
        </is>
      </c>
      <c r="E1197" t="inlineStr">
        <is>
          <t>HÄSSLEHOLM</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10464-2024</t>
        </is>
      </c>
      <c r="B1198" s="1" t="n">
        <v>45366.37332175926</v>
      </c>
      <c r="C1198" s="1" t="n">
        <v>45962</v>
      </c>
      <c r="D1198" t="inlineStr">
        <is>
          <t>SKÅNE LÄN</t>
        </is>
      </c>
      <c r="E1198" t="inlineStr">
        <is>
          <t>KRISTIANSTAD</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35142-2021</t>
        </is>
      </c>
      <c r="B1199" s="1" t="n">
        <v>44384</v>
      </c>
      <c r="C1199" s="1" t="n">
        <v>45962</v>
      </c>
      <c r="D1199" t="inlineStr">
        <is>
          <t>SKÅNE LÄN</t>
        </is>
      </c>
      <c r="E1199" t="inlineStr">
        <is>
          <t>TOMELILLA</t>
        </is>
      </c>
      <c r="F1199" t="inlineStr">
        <is>
          <t>Övriga Aktiebolag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12903-2024</t>
        </is>
      </c>
      <c r="B1200" s="1" t="n">
        <v>45385</v>
      </c>
      <c r="C1200" s="1" t="n">
        <v>45962</v>
      </c>
      <c r="D1200" t="inlineStr">
        <is>
          <t>SKÅNE LÄN</t>
        </is>
      </c>
      <c r="E1200" t="inlineStr">
        <is>
          <t>TOMELILLA</t>
        </is>
      </c>
      <c r="G1200" t="n">
        <v>9.199999999999999</v>
      </c>
      <c r="H1200" t="n">
        <v>0</v>
      </c>
      <c r="I1200" t="n">
        <v>0</v>
      </c>
      <c r="J1200" t="n">
        <v>0</v>
      </c>
      <c r="K1200" t="n">
        <v>0</v>
      </c>
      <c r="L1200" t="n">
        <v>0</v>
      </c>
      <c r="M1200" t="n">
        <v>0</v>
      </c>
      <c r="N1200" t="n">
        <v>0</v>
      </c>
      <c r="O1200" t="n">
        <v>0</v>
      </c>
      <c r="P1200" t="n">
        <v>0</v>
      </c>
      <c r="Q1200" t="n">
        <v>0</v>
      </c>
      <c r="R1200" s="2" t="inlineStr"/>
    </row>
    <row r="1201" ht="15" customHeight="1">
      <c r="A1201" t="inlineStr">
        <is>
          <t>A 30292-2021</t>
        </is>
      </c>
      <c r="B1201" s="1" t="n">
        <v>44364.33482638889</v>
      </c>
      <c r="C1201" s="1" t="n">
        <v>45962</v>
      </c>
      <c r="D1201" t="inlineStr">
        <is>
          <t>SKÅNE LÄN</t>
        </is>
      </c>
      <c r="E1201" t="inlineStr">
        <is>
          <t>KLIPPAN</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59252-2022</t>
        </is>
      </c>
      <c r="B1202" s="1" t="n">
        <v>44904.57733796296</v>
      </c>
      <c r="C1202" s="1" t="n">
        <v>45962</v>
      </c>
      <c r="D1202" t="inlineStr">
        <is>
          <t>SKÅNE LÄN</t>
        </is>
      </c>
      <c r="E1202" t="inlineStr">
        <is>
          <t>OSBY</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19629-2025</t>
        </is>
      </c>
      <c r="B1203" s="1" t="n">
        <v>45770.64084490741</v>
      </c>
      <c r="C1203" s="1" t="n">
        <v>45962</v>
      </c>
      <c r="D1203" t="inlineStr">
        <is>
          <t>SKÅNE LÄN</t>
        </is>
      </c>
      <c r="E1203" t="inlineStr">
        <is>
          <t>HÖÖR</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51859-2024</t>
        </is>
      </c>
      <c r="B1204" s="1" t="n">
        <v>45607</v>
      </c>
      <c r="C1204" s="1" t="n">
        <v>45962</v>
      </c>
      <c r="D1204" t="inlineStr">
        <is>
          <t>SKÅNE LÄN</t>
        </is>
      </c>
      <c r="E1204" t="inlineStr">
        <is>
          <t>OSBY</t>
        </is>
      </c>
      <c r="F1204" t="inlineStr">
        <is>
          <t>Sveaskog</t>
        </is>
      </c>
      <c r="G1204" t="n">
        <v>2.8</v>
      </c>
      <c r="H1204" t="n">
        <v>0</v>
      </c>
      <c r="I1204" t="n">
        <v>0</v>
      </c>
      <c r="J1204" t="n">
        <v>0</v>
      </c>
      <c r="K1204" t="n">
        <v>0</v>
      </c>
      <c r="L1204" t="n">
        <v>0</v>
      </c>
      <c r="M1204" t="n">
        <v>0</v>
      </c>
      <c r="N1204" t="n">
        <v>0</v>
      </c>
      <c r="O1204" t="n">
        <v>0</v>
      </c>
      <c r="P1204" t="n">
        <v>0</v>
      </c>
      <c r="Q1204" t="n">
        <v>0</v>
      </c>
      <c r="R1204" s="2" t="inlineStr"/>
    </row>
    <row r="1205" ht="15" customHeight="1">
      <c r="A1205" t="inlineStr">
        <is>
          <t>A 28244-2022</t>
        </is>
      </c>
      <c r="B1205" s="1" t="n">
        <v>44746</v>
      </c>
      <c r="C1205" s="1" t="n">
        <v>45962</v>
      </c>
      <c r="D1205" t="inlineStr">
        <is>
          <t>SKÅNE LÄN</t>
        </is>
      </c>
      <c r="E1205" t="inlineStr">
        <is>
          <t>PERSTORP</t>
        </is>
      </c>
      <c r="G1205" t="n">
        <v>6</v>
      </c>
      <c r="H1205" t="n">
        <v>0</v>
      </c>
      <c r="I1205" t="n">
        <v>0</v>
      </c>
      <c r="J1205" t="n">
        <v>0</v>
      </c>
      <c r="K1205" t="n">
        <v>0</v>
      </c>
      <c r="L1205" t="n">
        <v>0</v>
      </c>
      <c r="M1205" t="n">
        <v>0</v>
      </c>
      <c r="N1205" t="n">
        <v>0</v>
      </c>
      <c r="O1205" t="n">
        <v>0</v>
      </c>
      <c r="P1205" t="n">
        <v>0</v>
      </c>
      <c r="Q1205" t="n">
        <v>0</v>
      </c>
      <c r="R1205" s="2" t="inlineStr"/>
    </row>
    <row r="1206" ht="15" customHeight="1">
      <c r="A1206" t="inlineStr">
        <is>
          <t>A 1783-2025</t>
        </is>
      </c>
      <c r="B1206" s="1" t="n">
        <v>45671.4491087963</v>
      </c>
      <c r="C1206" s="1" t="n">
        <v>45962</v>
      </c>
      <c r="D1206" t="inlineStr">
        <is>
          <t>SKÅNE LÄN</t>
        </is>
      </c>
      <c r="E1206" t="inlineStr">
        <is>
          <t>ÖRKELLJUNGA</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33255-2023</t>
        </is>
      </c>
      <c r="B1207" s="1" t="n">
        <v>45127.5517824074</v>
      </c>
      <c r="C1207" s="1" t="n">
        <v>45962</v>
      </c>
      <c r="D1207" t="inlineStr">
        <is>
          <t>SKÅNE LÄN</t>
        </is>
      </c>
      <c r="E1207" t="inlineStr">
        <is>
          <t>BROMÖLLA</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16950-2025</t>
        </is>
      </c>
      <c r="B1208" s="1" t="n">
        <v>45755</v>
      </c>
      <c r="C1208" s="1" t="n">
        <v>45962</v>
      </c>
      <c r="D1208" t="inlineStr">
        <is>
          <t>SKÅNE LÄN</t>
        </is>
      </c>
      <c r="E1208" t="inlineStr">
        <is>
          <t>HÄSSLEHOLM</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2891-2024</t>
        </is>
      </c>
      <c r="B1209" s="1" t="n">
        <v>45315</v>
      </c>
      <c r="C1209" s="1" t="n">
        <v>45962</v>
      </c>
      <c r="D1209" t="inlineStr">
        <is>
          <t>SKÅNE LÄN</t>
        </is>
      </c>
      <c r="E1209" t="inlineStr">
        <is>
          <t>KRISTIANSTAD</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16395-2023</t>
        </is>
      </c>
      <c r="B1210" s="1" t="n">
        <v>45029.36196759259</v>
      </c>
      <c r="C1210" s="1" t="n">
        <v>45962</v>
      </c>
      <c r="D1210" t="inlineStr">
        <is>
          <t>SKÅNE LÄN</t>
        </is>
      </c>
      <c r="E1210" t="inlineStr">
        <is>
          <t>PERSTORP</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27502-2023</t>
        </is>
      </c>
      <c r="B1211" s="1" t="n">
        <v>45092</v>
      </c>
      <c r="C1211" s="1" t="n">
        <v>45962</v>
      </c>
      <c r="D1211" t="inlineStr">
        <is>
          <t>SKÅNE LÄN</t>
        </is>
      </c>
      <c r="E1211" t="inlineStr">
        <is>
          <t>HÄSSLEHOLM</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42899-2023</t>
        </is>
      </c>
      <c r="B1212" s="1" t="n">
        <v>45182</v>
      </c>
      <c r="C1212" s="1" t="n">
        <v>45962</v>
      </c>
      <c r="D1212" t="inlineStr">
        <is>
          <t>SKÅNE LÄN</t>
        </is>
      </c>
      <c r="E1212" t="inlineStr">
        <is>
          <t>KRISTIANSTAD</t>
        </is>
      </c>
      <c r="F1212" t="inlineStr">
        <is>
          <t>Sveaskog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55901-2024</t>
        </is>
      </c>
      <c r="B1213" s="1" t="n">
        <v>45622</v>
      </c>
      <c r="C1213" s="1" t="n">
        <v>45962</v>
      </c>
      <c r="D1213" t="inlineStr">
        <is>
          <t>SKÅNE LÄN</t>
        </is>
      </c>
      <c r="E1213" t="inlineStr">
        <is>
          <t>BROMÖLLA</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25803-2024</t>
        </is>
      </c>
      <c r="B1214" s="1" t="n">
        <v>45467.36152777778</v>
      </c>
      <c r="C1214" s="1" t="n">
        <v>45962</v>
      </c>
      <c r="D1214" t="inlineStr">
        <is>
          <t>SKÅNE LÄN</t>
        </is>
      </c>
      <c r="E1214" t="inlineStr">
        <is>
          <t>KRISTIANSTAD</t>
        </is>
      </c>
      <c r="G1214" t="n">
        <v>5.8</v>
      </c>
      <c r="H1214" t="n">
        <v>0</v>
      </c>
      <c r="I1214" t="n">
        <v>0</v>
      </c>
      <c r="J1214" t="n">
        <v>0</v>
      </c>
      <c r="K1214" t="n">
        <v>0</v>
      </c>
      <c r="L1214" t="n">
        <v>0</v>
      </c>
      <c r="M1214" t="n">
        <v>0</v>
      </c>
      <c r="N1214" t="n">
        <v>0</v>
      </c>
      <c r="O1214" t="n">
        <v>0</v>
      </c>
      <c r="P1214" t="n">
        <v>0</v>
      </c>
      <c r="Q1214" t="n">
        <v>0</v>
      </c>
      <c r="R1214" s="2" t="inlineStr"/>
    </row>
    <row r="1215" ht="15" customHeight="1">
      <c r="A1215" t="inlineStr">
        <is>
          <t>A 25610-2024</t>
        </is>
      </c>
      <c r="B1215" s="1" t="n">
        <v>45463</v>
      </c>
      <c r="C1215" s="1" t="n">
        <v>45962</v>
      </c>
      <c r="D1215" t="inlineStr">
        <is>
          <t>SKÅNE LÄN</t>
        </is>
      </c>
      <c r="E1215" t="inlineStr">
        <is>
          <t>TRELLEBORG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56956-2024</t>
        </is>
      </c>
      <c r="B1216" s="1" t="n">
        <v>45626</v>
      </c>
      <c r="C1216" s="1" t="n">
        <v>45962</v>
      </c>
      <c r="D1216" t="inlineStr">
        <is>
          <t>SKÅNE LÄN</t>
        </is>
      </c>
      <c r="E1216" t="inlineStr">
        <is>
          <t>HÄSSLEHOLM</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31627-2023</t>
        </is>
      </c>
      <c r="B1217" s="1" t="n">
        <v>45117.56052083334</v>
      </c>
      <c r="C1217" s="1" t="n">
        <v>45962</v>
      </c>
      <c r="D1217" t="inlineStr">
        <is>
          <t>SKÅNE LÄN</t>
        </is>
      </c>
      <c r="E1217" t="inlineStr">
        <is>
          <t>ÖSTRA GÖINGE</t>
        </is>
      </c>
      <c r="F1217" t="inlineStr">
        <is>
          <t>Sveaskog</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21867-2023</t>
        </is>
      </c>
      <c r="B1218" s="1" t="n">
        <v>45063</v>
      </c>
      <c r="C1218" s="1" t="n">
        <v>45962</v>
      </c>
      <c r="D1218" t="inlineStr">
        <is>
          <t>SKÅNE LÄN</t>
        </is>
      </c>
      <c r="E1218" t="inlineStr">
        <is>
          <t>HÄSSLEHOLM</t>
        </is>
      </c>
      <c r="G1218" t="n">
        <v>7.6</v>
      </c>
      <c r="H1218" t="n">
        <v>0</v>
      </c>
      <c r="I1218" t="n">
        <v>0</v>
      </c>
      <c r="J1218" t="n">
        <v>0</v>
      </c>
      <c r="K1218" t="n">
        <v>0</v>
      </c>
      <c r="L1218" t="n">
        <v>0</v>
      </c>
      <c r="M1218" t="n">
        <v>0</v>
      </c>
      <c r="N1218" t="n">
        <v>0</v>
      </c>
      <c r="O1218" t="n">
        <v>0</v>
      </c>
      <c r="P1218" t="n">
        <v>0</v>
      </c>
      <c r="Q1218" t="n">
        <v>0</v>
      </c>
      <c r="R1218" s="2" t="inlineStr"/>
    </row>
    <row r="1219" ht="15" customHeight="1">
      <c r="A1219" t="inlineStr">
        <is>
          <t>A 24887-2024</t>
        </is>
      </c>
      <c r="B1219" s="1" t="n">
        <v>45461.56512731482</v>
      </c>
      <c r="C1219" s="1" t="n">
        <v>45962</v>
      </c>
      <c r="D1219" t="inlineStr">
        <is>
          <t>SKÅNE LÄN</t>
        </is>
      </c>
      <c r="E1219" t="inlineStr">
        <is>
          <t>KRISTIANSTAD</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59094-2024</t>
        </is>
      </c>
      <c r="B1220" s="1" t="n">
        <v>45636</v>
      </c>
      <c r="C1220" s="1" t="n">
        <v>45962</v>
      </c>
      <c r="D1220" t="inlineStr">
        <is>
          <t>SKÅNE LÄN</t>
        </is>
      </c>
      <c r="E1220" t="inlineStr">
        <is>
          <t>KRISTIANSTAD</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57979-2023</t>
        </is>
      </c>
      <c r="B1221" s="1" t="n">
        <v>45247</v>
      </c>
      <c r="C1221" s="1" t="n">
        <v>45962</v>
      </c>
      <c r="D1221" t="inlineStr">
        <is>
          <t>SKÅNE LÄN</t>
        </is>
      </c>
      <c r="E1221" t="inlineStr">
        <is>
          <t>KRISTIANSTAD</t>
        </is>
      </c>
      <c r="G1221" t="n">
        <v>11.9</v>
      </c>
      <c r="H1221" t="n">
        <v>0</v>
      </c>
      <c r="I1221" t="n">
        <v>0</v>
      </c>
      <c r="J1221" t="n">
        <v>0</v>
      </c>
      <c r="K1221" t="n">
        <v>0</v>
      </c>
      <c r="L1221" t="n">
        <v>0</v>
      </c>
      <c r="M1221" t="n">
        <v>0</v>
      </c>
      <c r="N1221" t="n">
        <v>0</v>
      </c>
      <c r="O1221" t="n">
        <v>0</v>
      </c>
      <c r="P1221" t="n">
        <v>0</v>
      </c>
      <c r="Q1221" t="n">
        <v>0</v>
      </c>
      <c r="R1221" s="2" t="inlineStr"/>
    </row>
    <row r="1222" ht="15" customHeight="1">
      <c r="A1222" t="inlineStr">
        <is>
          <t>A 30845-2022</t>
        </is>
      </c>
      <c r="B1222" s="1" t="n">
        <v>44767</v>
      </c>
      <c r="C1222" s="1" t="n">
        <v>45962</v>
      </c>
      <c r="D1222" t="inlineStr">
        <is>
          <t>SKÅNE LÄN</t>
        </is>
      </c>
      <c r="E1222" t="inlineStr">
        <is>
          <t>KRISTIANSTAD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28247-2023</t>
        </is>
      </c>
      <c r="B1223" s="1" t="n">
        <v>45099</v>
      </c>
      <c r="C1223" s="1" t="n">
        <v>45962</v>
      </c>
      <c r="D1223" t="inlineStr">
        <is>
          <t>SKÅNE LÄN</t>
        </is>
      </c>
      <c r="E1223" t="inlineStr">
        <is>
          <t>KLIPPAN</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10007-2022</t>
        </is>
      </c>
      <c r="B1224" s="1" t="n">
        <v>44621</v>
      </c>
      <c r="C1224" s="1" t="n">
        <v>45962</v>
      </c>
      <c r="D1224" t="inlineStr">
        <is>
          <t>SKÅNE LÄN</t>
        </is>
      </c>
      <c r="E1224" t="inlineStr">
        <is>
          <t>HÖÖR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33752-2024</t>
        </is>
      </c>
      <c r="B1225" s="1" t="n">
        <v>45520.56605324074</v>
      </c>
      <c r="C1225" s="1" t="n">
        <v>45962</v>
      </c>
      <c r="D1225" t="inlineStr">
        <is>
          <t>SKÅNE LÄN</t>
        </is>
      </c>
      <c r="E1225" t="inlineStr">
        <is>
          <t>KRISTIANSTAD</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11997-2023</t>
        </is>
      </c>
      <c r="B1226" s="1" t="n">
        <v>44995</v>
      </c>
      <c r="C1226" s="1" t="n">
        <v>45962</v>
      </c>
      <c r="D1226" t="inlineStr">
        <is>
          <t>SKÅNE LÄN</t>
        </is>
      </c>
      <c r="E1226" t="inlineStr">
        <is>
          <t>KRISTIANSTAD</t>
        </is>
      </c>
      <c r="G1226" t="n">
        <v>5.4</v>
      </c>
      <c r="H1226" t="n">
        <v>0</v>
      </c>
      <c r="I1226" t="n">
        <v>0</v>
      </c>
      <c r="J1226" t="n">
        <v>0</v>
      </c>
      <c r="K1226" t="n">
        <v>0</v>
      </c>
      <c r="L1226" t="n">
        <v>0</v>
      </c>
      <c r="M1226" t="n">
        <v>0</v>
      </c>
      <c r="N1226" t="n">
        <v>0</v>
      </c>
      <c r="O1226" t="n">
        <v>0</v>
      </c>
      <c r="P1226" t="n">
        <v>0</v>
      </c>
      <c r="Q1226" t="n">
        <v>0</v>
      </c>
      <c r="R1226" s="2" t="inlineStr"/>
    </row>
    <row r="1227" ht="15" customHeight="1">
      <c r="A1227" t="inlineStr">
        <is>
          <t>A 11720-2024</t>
        </is>
      </c>
      <c r="B1227" s="1" t="n">
        <v>45373.64611111111</v>
      </c>
      <c r="C1227" s="1" t="n">
        <v>45962</v>
      </c>
      <c r="D1227" t="inlineStr">
        <is>
          <t>SKÅNE LÄN</t>
        </is>
      </c>
      <c r="E1227" t="inlineStr">
        <is>
          <t>PERSTORP</t>
        </is>
      </c>
      <c r="G1227" t="n">
        <v>4.4</v>
      </c>
      <c r="H1227" t="n">
        <v>0</v>
      </c>
      <c r="I1227" t="n">
        <v>0</v>
      </c>
      <c r="J1227" t="n">
        <v>0</v>
      </c>
      <c r="K1227" t="n">
        <v>0</v>
      </c>
      <c r="L1227" t="n">
        <v>0</v>
      </c>
      <c r="M1227" t="n">
        <v>0</v>
      </c>
      <c r="N1227" t="n">
        <v>0</v>
      </c>
      <c r="O1227" t="n">
        <v>0</v>
      </c>
      <c r="P1227" t="n">
        <v>0</v>
      </c>
      <c r="Q1227" t="n">
        <v>0</v>
      </c>
      <c r="R1227" s="2" t="inlineStr"/>
    </row>
    <row r="1228" ht="15" customHeight="1">
      <c r="A1228" t="inlineStr">
        <is>
          <t>A 41254-2023</t>
        </is>
      </c>
      <c r="B1228" s="1" t="n">
        <v>45174.5153125</v>
      </c>
      <c r="C1228" s="1" t="n">
        <v>45962</v>
      </c>
      <c r="D1228" t="inlineStr">
        <is>
          <t>SKÅNE LÄN</t>
        </is>
      </c>
      <c r="E1228" t="inlineStr">
        <is>
          <t>BROMÖLLA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6356-2025</t>
        </is>
      </c>
      <c r="B1229" s="1" t="n">
        <v>45699.36305555556</v>
      </c>
      <c r="C1229" s="1" t="n">
        <v>45962</v>
      </c>
      <c r="D1229" t="inlineStr">
        <is>
          <t>SKÅNE LÄN</t>
        </is>
      </c>
      <c r="E1229" t="inlineStr">
        <is>
          <t>ÖSTRA GÖINGE</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42387-2022</t>
        </is>
      </c>
      <c r="B1230" s="1" t="n">
        <v>44830</v>
      </c>
      <c r="C1230" s="1" t="n">
        <v>45962</v>
      </c>
      <c r="D1230" t="inlineStr">
        <is>
          <t>SKÅNE LÄN</t>
        </is>
      </c>
      <c r="E1230" t="inlineStr">
        <is>
          <t>TOMELILLA</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58003-2023</t>
        </is>
      </c>
      <c r="B1231" s="1" t="n">
        <v>45247</v>
      </c>
      <c r="C1231" s="1" t="n">
        <v>45962</v>
      </c>
      <c r="D1231" t="inlineStr">
        <is>
          <t>SKÅNE LÄN</t>
        </is>
      </c>
      <c r="E1231" t="inlineStr">
        <is>
          <t>KRISTIANSTAD</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20512-2023</t>
        </is>
      </c>
      <c r="B1232" s="1" t="n">
        <v>45057</v>
      </c>
      <c r="C1232" s="1" t="n">
        <v>45962</v>
      </c>
      <c r="D1232" t="inlineStr">
        <is>
          <t>SKÅNE LÄN</t>
        </is>
      </c>
      <c r="E1232" t="inlineStr">
        <is>
          <t>HÖÖR</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17737-2022</t>
        </is>
      </c>
      <c r="B1233" s="1" t="n">
        <v>44680.95025462963</v>
      </c>
      <c r="C1233" s="1" t="n">
        <v>45962</v>
      </c>
      <c r="D1233" t="inlineStr">
        <is>
          <t>SKÅNE LÄN</t>
        </is>
      </c>
      <c r="E1233" t="inlineStr">
        <is>
          <t>ÖSTRA GÖINGE</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21072-2022</t>
        </is>
      </c>
      <c r="B1234" s="1" t="n">
        <v>44704</v>
      </c>
      <c r="C1234" s="1" t="n">
        <v>45962</v>
      </c>
      <c r="D1234" t="inlineStr">
        <is>
          <t>SKÅNE LÄN</t>
        </is>
      </c>
      <c r="E1234" t="inlineStr">
        <is>
          <t>SVEDALA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5284-2023</t>
        </is>
      </c>
      <c r="B1235" s="1" t="n">
        <v>44959.50608796296</v>
      </c>
      <c r="C1235" s="1" t="n">
        <v>45962</v>
      </c>
      <c r="D1235" t="inlineStr">
        <is>
          <t>SKÅNE LÄN</t>
        </is>
      </c>
      <c r="E1235" t="inlineStr">
        <is>
          <t>HÄSSLEHOLM</t>
        </is>
      </c>
      <c r="G1235" t="n">
        <v>0.4</v>
      </c>
      <c r="H1235" t="n">
        <v>0</v>
      </c>
      <c r="I1235" t="n">
        <v>0</v>
      </c>
      <c r="J1235" t="n">
        <v>0</v>
      </c>
      <c r="K1235" t="n">
        <v>0</v>
      </c>
      <c r="L1235" t="n">
        <v>0</v>
      </c>
      <c r="M1235" t="n">
        <v>0</v>
      </c>
      <c r="N1235" t="n">
        <v>0</v>
      </c>
      <c r="O1235" t="n">
        <v>0</v>
      </c>
      <c r="P1235" t="n">
        <v>0</v>
      </c>
      <c r="Q1235" t="n">
        <v>0</v>
      </c>
      <c r="R1235" s="2" t="inlineStr"/>
    </row>
    <row r="1236" ht="15" customHeight="1">
      <c r="A1236" t="inlineStr">
        <is>
          <t>A 5285-2023</t>
        </is>
      </c>
      <c r="B1236" s="1" t="n">
        <v>44959.50783564815</v>
      </c>
      <c r="C1236" s="1" t="n">
        <v>45962</v>
      </c>
      <c r="D1236" t="inlineStr">
        <is>
          <t>SKÅNE LÄN</t>
        </is>
      </c>
      <c r="E1236" t="inlineStr">
        <is>
          <t>HÄSSLEHOLM</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7871-2025</t>
        </is>
      </c>
      <c r="B1237" s="1" t="n">
        <v>45706</v>
      </c>
      <c r="C1237" s="1" t="n">
        <v>45962</v>
      </c>
      <c r="D1237" t="inlineStr">
        <is>
          <t>SKÅNE LÄN</t>
        </is>
      </c>
      <c r="E1237" t="inlineStr">
        <is>
          <t>ÄNGELHOLM</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30858-2023</t>
        </is>
      </c>
      <c r="B1238" s="1" t="n">
        <v>45112.96149305555</v>
      </c>
      <c r="C1238" s="1" t="n">
        <v>45962</v>
      </c>
      <c r="D1238" t="inlineStr">
        <is>
          <t>SKÅNE LÄN</t>
        </is>
      </c>
      <c r="E1238" t="inlineStr">
        <is>
          <t>KRISTIANSTAD</t>
        </is>
      </c>
      <c r="F1238" t="inlineStr">
        <is>
          <t>Sveaskog</t>
        </is>
      </c>
      <c r="G1238" t="n">
        <v>4.6</v>
      </c>
      <c r="H1238" t="n">
        <v>0</v>
      </c>
      <c r="I1238" t="n">
        <v>0</v>
      </c>
      <c r="J1238" t="n">
        <v>0</v>
      </c>
      <c r="K1238" t="n">
        <v>0</v>
      </c>
      <c r="L1238" t="n">
        <v>0</v>
      </c>
      <c r="M1238" t="n">
        <v>0</v>
      </c>
      <c r="N1238" t="n">
        <v>0</v>
      </c>
      <c r="O1238" t="n">
        <v>0</v>
      </c>
      <c r="P1238" t="n">
        <v>0</v>
      </c>
      <c r="Q1238" t="n">
        <v>0</v>
      </c>
      <c r="R1238" s="2" t="inlineStr"/>
    </row>
    <row r="1239" ht="15" customHeight="1">
      <c r="A1239" t="inlineStr">
        <is>
          <t>A 9885-2021</t>
        </is>
      </c>
      <c r="B1239" s="1" t="n">
        <v>44253</v>
      </c>
      <c r="C1239" s="1" t="n">
        <v>45962</v>
      </c>
      <c r="D1239" t="inlineStr">
        <is>
          <t>SKÅNE LÄN</t>
        </is>
      </c>
      <c r="E1239" t="inlineStr">
        <is>
          <t>HÄSSLEHOLM</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34888-2023</t>
        </is>
      </c>
      <c r="B1240" s="1" t="n">
        <v>45142.388125</v>
      </c>
      <c r="C1240" s="1" t="n">
        <v>45962</v>
      </c>
      <c r="D1240" t="inlineStr">
        <is>
          <t>SKÅNE LÄN</t>
        </is>
      </c>
      <c r="E1240" t="inlineStr">
        <is>
          <t>HÄSSLEHOLM</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8752-2021</t>
        </is>
      </c>
      <c r="B1241" s="1" t="n">
        <v>44246</v>
      </c>
      <c r="C1241" s="1" t="n">
        <v>45962</v>
      </c>
      <c r="D1241" t="inlineStr">
        <is>
          <t>SKÅNE LÄN</t>
        </is>
      </c>
      <c r="E1241" t="inlineStr">
        <is>
          <t>ÖRKELLJUNGA</t>
        </is>
      </c>
      <c r="G1241" t="n">
        <v>6.8</v>
      </c>
      <c r="H1241" t="n">
        <v>0</v>
      </c>
      <c r="I1241" t="n">
        <v>0</v>
      </c>
      <c r="J1241" t="n">
        <v>0</v>
      </c>
      <c r="K1241" t="n">
        <v>0</v>
      </c>
      <c r="L1241" t="n">
        <v>0</v>
      </c>
      <c r="M1241" t="n">
        <v>0</v>
      </c>
      <c r="N1241" t="n">
        <v>0</v>
      </c>
      <c r="O1241" t="n">
        <v>0</v>
      </c>
      <c r="P1241" t="n">
        <v>0</v>
      </c>
      <c r="Q1241" t="n">
        <v>0</v>
      </c>
      <c r="R1241" s="2" t="inlineStr"/>
    </row>
    <row r="1242" ht="15" customHeight="1">
      <c r="A1242" t="inlineStr">
        <is>
          <t>A 6836-2023</t>
        </is>
      </c>
      <c r="B1242" s="1" t="n">
        <v>44967</v>
      </c>
      <c r="C1242" s="1" t="n">
        <v>45962</v>
      </c>
      <c r="D1242" t="inlineStr">
        <is>
          <t>SKÅNE LÄN</t>
        </is>
      </c>
      <c r="E1242" t="inlineStr">
        <is>
          <t>HÄSSLEHOLM</t>
        </is>
      </c>
      <c r="G1242" t="n">
        <v>3.5</v>
      </c>
      <c r="H1242" t="n">
        <v>0</v>
      </c>
      <c r="I1242" t="n">
        <v>0</v>
      </c>
      <c r="J1242" t="n">
        <v>0</v>
      </c>
      <c r="K1242" t="n">
        <v>0</v>
      </c>
      <c r="L1242" t="n">
        <v>0</v>
      </c>
      <c r="M1242" t="n">
        <v>0</v>
      </c>
      <c r="N1242" t="n">
        <v>0</v>
      </c>
      <c r="O1242" t="n">
        <v>0</v>
      </c>
      <c r="P1242" t="n">
        <v>0</v>
      </c>
      <c r="Q1242" t="n">
        <v>0</v>
      </c>
      <c r="R1242" s="2" t="inlineStr"/>
    </row>
    <row r="1243" ht="15" customHeight="1">
      <c r="A1243" t="inlineStr">
        <is>
          <t>A 6845-2023</t>
        </is>
      </c>
      <c r="B1243" s="1" t="n">
        <v>44967</v>
      </c>
      <c r="C1243" s="1" t="n">
        <v>45962</v>
      </c>
      <c r="D1243" t="inlineStr">
        <is>
          <t>SKÅNE LÄN</t>
        </is>
      </c>
      <c r="E1243" t="inlineStr">
        <is>
          <t>HÄSSLEHOLM</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6948-2025</t>
        </is>
      </c>
      <c r="B1244" s="1" t="n">
        <v>45701.47834490741</v>
      </c>
      <c r="C1244" s="1" t="n">
        <v>45962</v>
      </c>
      <c r="D1244" t="inlineStr">
        <is>
          <t>SKÅNE LÄN</t>
        </is>
      </c>
      <c r="E1244" t="inlineStr">
        <is>
          <t>PERSTORP</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34972-2023</t>
        </is>
      </c>
      <c r="B1245" s="1" t="n">
        <v>45141</v>
      </c>
      <c r="C1245" s="1" t="n">
        <v>45962</v>
      </c>
      <c r="D1245" t="inlineStr">
        <is>
          <t>SKÅNE LÄN</t>
        </is>
      </c>
      <c r="E1245" t="inlineStr">
        <is>
          <t>OSBY</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61035-2024</t>
        </is>
      </c>
      <c r="B1246" s="1" t="n">
        <v>45645.46634259259</v>
      </c>
      <c r="C1246" s="1" t="n">
        <v>45962</v>
      </c>
      <c r="D1246" t="inlineStr">
        <is>
          <t>SKÅNE LÄN</t>
        </is>
      </c>
      <c r="E1246" t="inlineStr">
        <is>
          <t>ESLÖV</t>
        </is>
      </c>
      <c r="G1246" t="n">
        <v>7.6</v>
      </c>
      <c r="H1246" t="n">
        <v>0</v>
      </c>
      <c r="I1246" t="n">
        <v>0</v>
      </c>
      <c r="J1246" t="n">
        <v>0</v>
      </c>
      <c r="K1246" t="n">
        <v>0</v>
      </c>
      <c r="L1246" t="n">
        <v>0</v>
      </c>
      <c r="M1246" t="n">
        <v>0</v>
      </c>
      <c r="N1246" t="n">
        <v>0</v>
      </c>
      <c r="O1246" t="n">
        <v>0</v>
      </c>
      <c r="P1246" t="n">
        <v>0</v>
      </c>
      <c r="Q1246" t="n">
        <v>0</v>
      </c>
      <c r="R1246" s="2" t="inlineStr"/>
    </row>
    <row r="1247" ht="15" customHeight="1">
      <c r="A1247" t="inlineStr">
        <is>
          <t>A 25450-2022</t>
        </is>
      </c>
      <c r="B1247" s="1" t="n">
        <v>44732</v>
      </c>
      <c r="C1247" s="1" t="n">
        <v>45962</v>
      </c>
      <c r="D1247" t="inlineStr">
        <is>
          <t>SKÅNE LÄN</t>
        </is>
      </c>
      <c r="E1247" t="inlineStr">
        <is>
          <t>KRISTIANSTAD</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14308-2023</t>
        </is>
      </c>
      <c r="B1248" s="1" t="n">
        <v>45011.82695601852</v>
      </c>
      <c r="C1248" s="1" t="n">
        <v>45962</v>
      </c>
      <c r="D1248" t="inlineStr">
        <is>
          <t>SKÅNE LÄN</t>
        </is>
      </c>
      <c r="E1248" t="inlineStr">
        <is>
          <t>OSBY</t>
        </is>
      </c>
      <c r="G1248" t="n">
        <v>6.2</v>
      </c>
      <c r="H1248" t="n">
        <v>0</v>
      </c>
      <c r="I1248" t="n">
        <v>0</v>
      </c>
      <c r="J1248" t="n">
        <v>0</v>
      </c>
      <c r="K1248" t="n">
        <v>0</v>
      </c>
      <c r="L1248" t="n">
        <v>0</v>
      </c>
      <c r="M1248" t="n">
        <v>0</v>
      </c>
      <c r="N1248" t="n">
        <v>0</v>
      </c>
      <c r="O1248" t="n">
        <v>0</v>
      </c>
      <c r="P1248" t="n">
        <v>0</v>
      </c>
      <c r="Q1248" t="n">
        <v>0</v>
      </c>
      <c r="R1248" s="2" t="inlineStr"/>
    </row>
    <row r="1249" ht="15" customHeight="1">
      <c r="A1249" t="inlineStr">
        <is>
          <t>A 26178-2023</t>
        </is>
      </c>
      <c r="B1249" s="1" t="n">
        <v>45091.52565972223</v>
      </c>
      <c r="C1249" s="1" t="n">
        <v>45962</v>
      </c>
      <c r="D1249" t="inlineStr">
        <is>
          <t>SKÅNE LÄN</t>
        </is>
      </c>
      <c r="E1249" t="inlineStr">
        <is>
          <t>ÖRKELLJUNGA</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53887-2023</t>
        </is>
      </c>
      <c r="B1250" s="1" t="n">
        <v>45231.52675925926</v>
      </c>
      <c r="C1250" s="1" t="n">
        <v>45962</v>
      </c>
      <c r="D1250" t="inlineStr">
        <is>
          <t>SKÅNE LÄN</t>
        </is>
      </c>
      <c r="E1250" t="inlineStr">
        <is>
          <t>HÄSSLEHOLM</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54435-2024</t>
        </is>
      </c>
      <c r="B1251" s="1" t="n">
        <v>45617.49494212963</v>
      </c>
      <c r="C1251" s="1" t="n">
        <v>45962</v>
      </c>
      <c r="D1251" t="inlineStr">
        <is>
          <t>SKÅNE LÄN</t>
        </is>
      </c>
      <c r="E1251" t="inlineStr">
        <is>
          <t>HÄSSLEHOLM</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65863-2020</t>
        </is>
      </c>
      <c r="B1252" s="1" t="n">
        <v>44173</v>
      </c>
      <c r="C1252" s="1" t="n">
        <v>45962</v>
      </c>
      <c r="D1252" t="inlineStr">
        <is>
          <t>SKÅNE LÄN</t>
        </is>
      </c>
      <c r="E1252" t="inlineStr">
        <is>
          <t>SVALÖV</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53956-2023</t>
        </is>
      </c>
      <c r="B1253" s="1" t="n">
        <v>45231</v>
      </c>
      <c r="C1253" s="1" t="n">
        <v>45962</v>
      </c>
      <c r="D1253" t="inlineStr">
        <is>
          <t>SKÅNE LÄN</t>
        </is>
      </c>
      <c r="E1253" t="inlineStr">
        <is>
          <t>HÖÖR</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58886-2024</t>
        </is>
      </c>
      <c r="B1254" s="1" t="n">
        <v>45636.45380787037</v>
      </c>
      <c r="C1254" s="1" t="n">
        <v>45962</v>
      </c>
      <c r="D1254" t="inlineStr">
        <is>
          <t>SKÅNE LÄN</t>
        </is>
      </c>
      <c r="E1254" t="inlineStr">
        <is>
          <t>HÄSSLEHOLM</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13087-2023</t>
        </is>
      </c>
      <c r="B1255" s="1" t="n">
        <v>45001</v>
      </c>
      <c r="C1255" s="1" t="n">
        <v>45962</v>
      </c>
      <c r="D1255" t="inlineStr">
        <is>
          <t>SKÅNE LÄN</t>
        </is>
      </c>
      <c r="E1255" t="inlineStr">
        <is>
          <t>HÄSSLEHOLM</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54187-2022</t>
        </is>
      </c>
      <c r="B1256" s="1" t="n">
        <v>44881.67839120371</v>
      </c>
      <c r="C1256" s="1" t="n">
        <v>45962</v>
      </c>
      <c r="D1256" t="inlineStr">
        <is>
          <t>SKÅNE LÄN</t>
        </is>
      </c>
      <c r="E1256" t="inlineStr">
        <is>
          <t>OSBY</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6574-2021</t>
        </is>
      </c>
      <c r="B1257" s="1" t="n">
        <v>44236</v>
      </c>
      <c r="C1257" s="1" t="n">
        <v>45962</v>
      </c>
      <c r="D1257" t="inlineStr">
        <is>
          <t>SKÅNE LÄN</t>
        </is>
      </c>
      <c r="E1257" t="inlineStr">
        <is>
          <t>ÄNGELHOLM</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6583-2021</t>
        </is>
      </c>
      <c r="B1258" s="1" t="n">
        <v>44236</v>
      </c>
      <c r="C1258" s="1" t="n">
        <v>45962</v>
      </c>
      <c r="D1258" t="inlineStr">
        <is>
          <t>SKÅNE LÄN</t>
        </is>
      </c>
      <c r="E1258" t="inlineStr">
        <is>
          <t>HÄSSLEHOLM</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49032-2022</t>
        </is>
      </c>
      <c r="B1259" s="1" t="n">
        <v>44860.44083333333</v>
      </c>
      <c r="C1259" s="1" t="n">
        <v>45962</v>
      </c>
      <c r="D1259" t="inlineStr">
        <is>
          <t>SKÅNE LÄN</t>
        </is>
      </c>
      <c r="E1259" t="inlineStr">
        <is>
          <t>SVALÖV</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11970-2023</t>
        </is>
      </c>
      <c r="B1260" s="1" t="n">
        <v>44995.57435185185</v>
      </c>
      <c r="C1260" s="1" t="n">
        <v>45962</v>
      </c>
      <c r="D1260" t="inlineStr">
        <is>
          <t>SKÅNE LÄN</t>
        </is>
      </c>
      <c r="E1260" t="inlineStr">
        <is>
          <t>KRISTIANSTAD</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23496-2024</t>
        </is>
      </c>
      <c r="B1261" s="1" t="n">
        <v>45453</v>
      </c>
      <c r="C1261" s="1" t="n">
        <v>45962</v>
      </c>
      <c r="D1261" t="inlineStr">
        <is>
          <t>SKÅNE LÄN</t>
        </is>
      </c>
      <c r="E1261" t="inlineStr">
        <is>
          <t>TOMELILLA</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57990-2022</t>
        </is>
      </c>
      <c r="B1262" s="1" t="n">
        <v>44900.48835648148</v>
      </c>
      <c r="C1262" s="1" t="n">
        <v>45962</v>
      </c>
      <c r="D1262" t="inlineStr">
        <is>
          <t>SKÅNE LÄN</t>
        </is>
      </c>
      <c r="E1262" t="inlineStr">
        <is>
          <t>OSBY</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23227-2023</t>
        </is>
      </c>
      <c r="B1263" s="1" t="n">
        <v>45075</v>
      </c>
      <c r="C1263" s="1" t="n">
        <v>45962</v>
      </c>
      <c r="D1263" t="inlineStr">
        <is>
          <t>SKÅNE LÄN</t>
        </is>
      </c>
      <c r="E1263" t="inlineStr">
        <is>
          <t>ÄNGELHOLM</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17151-2024</t>
        </is>
      </c>
      <c r="B1264" s="1" t="n">
        <v>45412</v>
      </c>
      <c r="C1264" s="1" t="n">
        <v>45962</v>
      </c>
      <c r="D1264" t="inlineStr">
        <is>
          <t>SKÅNE LÄN</t>
        </is>
      </c>
      <c r="E1264" t="inlineStr">
        <is>
          <t>TOMELILLA</t>
        </is>
      </c>
      <c r="F1264" t="inlineStr">
        <is>
          <t>Övriga Aktiebolag</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17228-2024</t>
        </is>
      </c>
      <c r="B1265" s="1" t="n">
        <v>45414.36306712963</v>
      </c>
      <c r="C1265" s="1" t="n">
        <v>45962</v>
      </c>
      <c r="D1265" t="inlineStr">
        <is>
          <t>SKÅNE LÄN</t>
        </is>
      </c>
      <c r="E1265" t="inlineStr">
        <is>
          <t>OSBY</t>
        </is>
      </c>
      <c r="G1265" t="n">
        <v>3.2</v>
      </c>
      <c r="H1265" t="n">
        <v>0</v>
      </c>
      <c r="I1265" t="n">
        <v>0</v>
      </c>
      <c r="J1265" t="n">
        <v>0</v>
      </c>
      <c r="K1265" t="n">
        <v>0</v>
      </c>
      <c r="L1265" t="n">
        <v>0</v>
      </c>
      <c r="M1265" t="n">
        <v>0</v>
      </c>
      <c r="N1265" t="n">
        <v>0</v>
      </c>
      <c r="O1265" t="n">
        <v>0</v>
      </c>
      <c r="P1265" t="n">
        <v>0</v>
      </c>
      <c r="Q1265" t="n">
        <v>0</v>
      </c>
      <c r="R1265" s="2" t="inlineStr"/>
    </row>
    <row r="1266" ht="15" customHeight="1">
      <c r="A1266" t="inlineStr">
        <is>
          <t>A 56759-2023</t>
        </is>
      </c>
      <c r="B1266" s="1" t="n">
        <v>45238</v>
      </c>
      <c r="C1266" s="1" t="n">
        <v>45962</v>
      </c>
      <c r="D1266" t="inlineStr">
        <is>
          <t>SKÅNE LÄN</t>
        </is>
      </c>
      <c r="E1266" t="inlineStr">
        <is>
          <t>KLIPPAN</t>
        </is>
      </c>
      <c r="G1266" t="n">
        <v>7.4</v>
      </c>
      <c r="H1266" t="n">
        <v>0</v>
      </c>
      <c r="I1266" t="n">
        <v>0</v>
      </c>
      <c r="J1266" t="n">
        <v>0</v>
      </c>
      <c r="K1266" t="n">
        <v>0</v>
      </c>
      <c r="L1266" t="n">
        <v>0</v>
      </c>
      <c r="M1266" t="n">
        <v>0</v>
      </c>
      <c r="N1266" t="n">
        <v>0</v>
      </c>
      <c r="O1266" t="n">
        <v>0</v>
      </c>
      <c r="P1266" t="n">
        <v>0</v>
      </c>
      <c r="Q1266" t="n">
        <v>0</v>
      </c>
      <c r="R1266" s="2" t="inlineStr"/>
    </row>
    <row r="1267" ht="15" customHeight="1">
      <c r="A1267" t="inlineStr">
        <is>
          <t>A 21980-2023</t>
        </is>
      </c>
      <c r="B1267" s="1" t="n">
        <v>45068.67945601852</v>
      </c>
      <c r="C1267" s="1" t="n">
        <v>45962</v>
      </c>
      <c r="D1267" t="inlineStr">
        <is>
          <t>SKÅNE LÄN</t>
        </is>
      </c>
      <c r="E1267" t="inlineStr">
        <is>
          <t>BROMÖLLA</t>
        </is>
      </c>
      <c r="G1267" t="n">
        <v>5.8</v>
      </c>
      <c r="H1267" t="n">
        <v>0</v>
      </c>
      <c r="I1267" t="n">
        <v>0</v>
      </c>
      <c r="J1267" t="n">
        <v>0</v>
      </c>
      <c r="K1267" t="n">
        <v>0</v>
      </c>
      <c r="L1267" t="n">
        <v>0</v>
      </c>
      <c r="M1267" t="n">
        <v>0</v>
      </c>
      <c r="N1267" t="n">
        <v>0</v>
      </c>
      <c r="O1267" t="n">
        <v>0</v>
      </c>
      <c r="P1267" t="n">
        <v>0</v>
      </c>
      <c r="Q1267" t="n">
        <v>0</v>
      </c>
      <c r="R1267" s="2" t="inlineStr"/>
    </row>
    <row r="1268" ht="15" customHeight="1">
      <c r="A1268" t="inlineStr">
        <is>
          <t>A 4301-2024</t>
        </is>
      </c>
      <c r="B1268" s="1" t="n">
        <v>45324</v>
      </c>
      <c r="C1268" s="1" t="n">
        <v>45962</v>
      </c>
      <c r="D1268" t="inlineStr">
        <is>
          <t>SKÅNE LÄN</t>
        </is>
      </c>
      <c r="E1268" t="inlineStr">
        <is>
          <t>KLIPPAN</t>
        </is>
      </c>
      <c r="F1268" t="inlineStr">
        <is>
          <t>Övriga Aktiebolag</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43996-2022</t>
        </is>
      </c>
      <c r="B1269" s="1" t="n">
        <v>44838</v>
      </c>
      <c r="C1269" s="1" t="n">
        <v>45962</v>
      </c>
      <c r="D1269" t="inlineStr">
        <is>
          <t>SKÅNE LÄN</t>
        </is>
      </c>
      <c r="E1269" t="inlineStr">
        <is>
          <t>HÖÖR</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5028-2024</t>
        </is>
      </c>
      <c r="B1270" s="1" t="n">
        <v>45329</v>
      </c>
      <c r="C1270" s="1" t="n">
        <v>45962</v>
      </c>
      <c r="D1270" t="inlineStr">
        <is>
          <t>SKÅNE LÄN</t>
        </is>
      </c>
      <c r="E1270" t="inlineStr">
        <is>
          <t>SIMRISHAMN</t>
        </is>
      </c>
      <c r="F1270" t="inlineStr">
        <is>
          <t>Övriga Aktiebolag</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35711-2024</t>
        </is>
      </c>
      <c r="B1271" s="1" t="n">
        <v>45532</v>
      </c>
      <c r="C1271" s="1" t="n">
        <v>45962</v>
      </c>
      <c r="D1271" t="inlineStr">
        <is>
          <t>SKÅNE LÄN</t>
        </is>
      </c>
      <c r="E1271" t="inlineStr">
        <is>
          <t>HÄSSLEHOLM</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26989-2023</t>
        </is>
      </c>
      <c r="B1272" s="1" t="n">
        <v>45093.91768518519</v>
      </c>
      <c r="C1272" s="1" t="n">
        <v>45962</v>
      </c>
      <c r="D1272" t="inlineStr">
        <is>
          <t>SKÅNE LÄN</t>
        </is>
      </c>
      <c r="E1272" t="inlineStr">
        <is>
          <t>OSBY</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7086-2023</t>
        </is>
      </c>
      <c r="B1273" s="1" t="n">
        <v>44965</v>
      </c>
      <c r="C1273" s="1" t="n">
        <v>45962</v>
      </c>
      <c r="D1273" t="inlineStr">
        <is>
          <t>SKÅNE LÄN</t>
        </is>
      </c>
      <c r="E1273" t="inlineStr">
        <is>
          <t>OSBY</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15706-2025</t>
        </is>
      </c>
      <c r="B1274" s="1" t="n">
        <v>45748</v>
      </c>
      <c r="C1274" s="1" t="n">
        <v>45962</v>
      </c>
      <c r="D1274" t="inlineStr">
        <is>
          <t>SKÅNE LÄN</t>
        </is>
      </c>
      <c r="E1274" t="inlineStr">
        <is>
          <t>KRISTIANSTAD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15712-2025</t>
        </is>
      </c>
      <c r="B1275" s="1" t="n">
        <v>45748</v>
      </c>
      <c r="C1275" s="1" t="n">
        <v>45962</v>
      </c>
      <c r="D1275" t="inlineStr">
        <is>
          <t>SKÅNE LÄN</t>
        </is>
      </c>
      <c r="E1275" t="inlineStr">
        <is>
          <t>KRISTIANSTAD</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219-2022</t>
        </is>
      </c>
      <c r="B1276" s="1" t="n">
        <v>44564</v>
      </c>
      <c r="C1276" s="1" t="n">
        <v>45962</v>
      </c>
      <c r="D1276" t="inlineStr">
        <is>
          <t>SKÅNE LÄN</t>
        </is>
      </c>
      <c r="E1276" t="inlineStr">
        <is>
          <t>HÄSSLEHOLM</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25962-2023</t>
        </is>
      </c>
      <c r="B1277" s="1" t="n">
        <v>45090.77961805555</v>
      </c>
      <c r="C1277" s="1" t="n">
        <v>45962</v>
      </c>
      <c r="D1277" t="inlineStr">
        <is>
          <t>SKÅNE LÄN</t>
        </is>
      </c>
      <c r="E1277" t="inlineStr">
        <is>
          <t>ÖRKELLJUNGA</t>
        </is>
      </c>
      <c r="G1277" t="n">
        <v>7.3</v>
      </c>
      <c r="H1277" t="n">
        <v>0</v>
      </c>
      <c r="I1277" t="n">
        <v>0</v>
      </c>
      <c r="J1277" t="n">
        <v>0</v>
      </c>
      <c r="K1277" t="n">
        <v>0</v>
      </c>
      <c r="L1277" t="n">
        <v>0</v>
      </c>
      <c r="M1277" t="n">
        <v>0</v>
      </c>
      <c r="N1277" t="n">
        <v>0</v>
      </c>
      <c r="O1277" t="n">
        <v>0</v>
      </c>
      <c r="P1277" t="n">
        <v>0</v>
      </c>
      <c r="Q1277" t="n">
        <v>0</v>
      </c>
      <c r="R1277" s="2" t="inlineStr"/>
    </row>
    <row r="1278" ht="15" customHeight="1">
      <c r="A1278" t="inlineStr">
        <is>
          <t>A 17792-2021</t>
        </is>
      </c>
      <c r="B1278" s="1" t="n">
        <v>44300</v>
      </c>
      <c r="C1278" s="1" t="n">
        <v>45962</v>
      </c>
      <c r="D1278" t="inlineStr">
        <is>
          <t>SKÅNE LÄN</t>
        </is>
      </c>
      <c r="E1278" t="inlineStr">
        <is>
          <t>KLIPPAN</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56490-2021</t>
        </is>
      </c>
      <c r="B1279" s="1" t="n">
        <v>44480</v>
      </c>
      <c r="C1279" s="1" t="n">
        <v>45962</v>
      </c>
      <c r="D1279" t="inlineStr">
        <is>
          <t>SKÅNE LÄN</t>
        </is>
      </c>
      <c r="E1279" t="inlineStr">
        <is>
          <t>HÄSSLEHOLM</t>
        </is>
      </c>
      <c r="F1279" t="inlineStr">
        <is>
          <t>Kyrkan</t>
        </is>
      </c>
      <c r="G1279" t="n">
        <v>8.300000000000001</v>
      </c>
      <c r="H1279" t="n">
        <v>0</v>
      </c>
      <c r="I1279" t="n">
        <v>0</v>
      </c>
      <c r="J1279" t="n">
        <v>0</v>
      </c>
      <c r="K1279" t="n">
        <v>0</v>
      </c>
      <c r="L1279" t="n">
        <v>0</v>
      </c>
      <c r="M1279" t="n">
        <v>0</v>
      </c>
      <c r="N1279" t="n">
        <v>0</v>
      </c>
      <c r="O1279" t="n">
        <v>0</v>
      </c>
      <c r="P1279" t="n">
        <v>0</v>
      </c>
      <c r="Q1279" t="n">
        <v>0</v>
      </c>
      <c r="R1279" s="2" t="inlineStr"/>
    </row>
    <row r="1280" ht="15" customHeight="1">
      <c r="A1280" t="inlineStr">
        <is>
          <t>A 31639-2024</t>
        </is>
      </c>
      <c r="B1280" s="1" t="n">
        <v>45506.58487268518</v>
      </c>
      <c r="C1280" s="1" t="n">
        <v>45962</v>
      </c>
      <c r="D1280" t="inlineStr">
        <is>
          <t>SKÅNE LÄN</t>
        </is>
      </c>
      <c r="E1280" t="inlineStr">
        <is>
          <t>OSBY</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20666-2023</t>
        </is>
      </c>
      <c r="B1281" s="1" t="n">
        <v>45058.35664351852</v>
      </c>
      <c r="C1281" s="1" t="n">
        <v>45962</v>
      </c>
      <c r="D1281" t="inlineStr">
        <is>
          <t>SKÅNE LÄN</t>
        </is>
      </c>
      <c r="E1281" t="inlineStr">
        <is>
          <t>HÄSSLEHOLM</t>
        </is>
      </c>
      <c r="F1281" t="inlineStr">
        <is>
          <t>Kyrkan</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59028-2023</t>
        </is>
      </c>
      <c r="B1282" s="1" t="n">
        <v>45252.67900462963</v>
      </c>
      <c r="C1282" s="1" t="n">
        <v>45962</v>
      </c>
      <c r="D1282" t="inlineStr">
        <is>
          <t>SKÅNE LÄN</t>
        </is>
      </c>
      <c r="E1282" t="inlineStr">
        <is>
          <t>HÄSSLEHOLM</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20690-2022</t>
        </is>
      </c>
      <c r="B1283" s="1" t="n">
        <v>44700</v>
      </c>
      <c r="C1283" s="1" t="n">
        <v>45962</v>
      </c>
      <c r="D1283" t="inlineStr">
        <is>
          <t>SKÅNE LÄN</t>
        </is>
      </c>
      <c r="E1283" t="inlineStr">
        <is>
          <t>KLIPPAN</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981-2023</t>
        </is>
      </c>
      <c r="B1284" s="1" t="n">
        <v>44935.35828703704</v>
      </c>
      <c r="C1284" s="1" t="n">
        <v>45962</v>
      </c>
      <c r="D1284" t="inlineStr">
        <is>
          <t>SKÅNE LÄN</t>
        </is>
      </c>
      <c r="E1284" t="inlineStr">
        <is>
          <t>ÖRKELLJUNGA</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21891-2024</t>
        </is>
      </c>
      <c r="B1285" s="1" t="n">
        <v>45443.38305555555</v>
      </c>
      <c r="C1285" s="1" t="n">
        <v>45962</v>
      </c>
      <c r="D1285" t="inlineStr">
        <is>
          <t>SKÅNE LÄN</t>
        </is>
      </c>
      <c r="E1285" t="inlineStr">
        <is>
          <t>OSBY</t>
        </is>
      </c>
      <c r="F1285" t="inlineStr">
        <is>
          <t>Sveaskog</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35491-2021</t>
        </is>
      </c>
      <c r="B1286" s="1" t="n">
        <v>44385</v>
      </c>
      <c r="C1286" s="1" t="n">
        <v>45962</v>
      </c>
      <c r="D1286" t="inlineStr">
        <is>
          <t>SKÅNE LÄN</t>
        </is>
      </c>
      <c r="E1286" t="inlineStr">
        <is>
          <t>HÖÖR</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48974-2023</t>
        </is>
      </c>
      <c r="B1287" s="1" t="n">
        <v>45209</v>
      </c>
      <c r="C1287" s="1" t="n">
        <v>45962</v>
      </c>
      <c r="D1287" t="inlineStr">
        <is>
          <t>SKÅNE LÄN</t>
        </is>
      </c>
      <c r="E1287" t="inlineStr">
        <is>
          <t>BÅSTAD</t>
        </is>
      </c>
      <c r="G1287" t="n">
        <v>4.5</v>
      </c>
      <c r="H1287" t="n">
        <v>0</v>
      </c>
      <c r="I1287" t="n">
        <v>0</v>
      </c>
      <c r="J1287" t="n">
        <v>0</v>
      </c>
      <c r="K1287" t="n">
        <v>0</v>
      </c>
      <c r="L1287" t="n">
        <v>0</v>
      </c>
      <c r="M1287" t="n">
        <v>0</v>
      </c>
      <c r="N1287" t="n">
        <v>0</v>
      </c>
      <c r="O1287" t="n">
        <v>0</v>
      </c>
      <c r="P1287" t="n">
        <v>0</v>
      </c>
      <c r="Q1287" t="n">
        <v>0</v>
      </c>
      <c r="R1287" s="2" t="inlineStr"/>
    </row>
    <row r="1288" ht="15" customHeight="1">
      <c r="A1288" t="inlineStr">
        <is>
          <t>A 3602-2024</t>
        </is>
      </c>
      <c r="B1288" s="1" t="n">
        <v>45320</v>
      </c>
      <c r="C1288" s="1" t="n">
        <v>45962</v>
      </c>
      <c r="D1288" t="inlineStr">
        <is>
          <t>SKÅNE LÄN</t>
        </is>
      </c>
      <c r="E1288" t="inlineStr">
        <is>
          <t>SIMRISHAMN</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34719-2022</t>
        </is>
      </c>
      <c r="B1289" s="1" t="n">
        <v>44795.58869212963</v>
      </c>
      <c r="C1289" s="1" t="n">
        <v>45962</v>
      </c>
      <c r="D1289" t="inlineStr">
        <is>
          <t>SKÅNE LÄN</t>
        </is>
      </c>
      <c r="E1289" t="inlineStr">
        <is>
          <t>KRISTIANSTAD</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27584-2024</t>
        </is>
      </c>
      <c r="B1290" s="1" t="n">
        <v>45474.65922453703</v>
      </c>
      <c r="C1290" s="1" t="n">
        <v>45962</v>
      </c>
      <c r="D1290" t="inlineStr">
        <is>
          <t>SKÅNE LÄN</t>
        </is>
      </c>
      <c r="E1290" t="inlineStr">
        <is>
          <t>KRISTIANSTAD</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35801-2024</t>
        </is>
      </c>
      <c r="B1291" s="1" t="n">
        <v>45532</v>
      </c>
      <c r="C1291" s="1" t="n">
        <v>45962</v>
      </c>
      <c r="D1291" t="inlineStr">
        <is>
          <t>SKÅNE LÄN</t>
        </is>
      </c>
      <c r="E1291" t="inlineStr">
        <is>
          <t>HÖÖR</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11105-2021</t>
        </is>
      </c>
      <c r="B1292" s="1" t="n">
        <v>44259</v>
      </c>
      <c r="C1292" s="1" t="n">
        <v>45962</v>
      </c>
      <c r="D1292" t="inlineStr">
        <is>
          <t>SKÅNE LÄN</t>
        </is>
      </c>
      <c r="E1292" t="inlineStr">
        <is>
          <t>KLIPPAN</t>
        </is>
      </c>
      <c r="F1292" t="inlineStr">
        <is>
          <t>Övriga Aktiebolag</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6042-2022</t>
        </is>
      </c>
      <c r="B1293" s="1" t="n">
        <v>44599</v>
      </c>
      <c r="C1293" s="1" t="n">
        <v>45962</v>
      </c>
      <c r="D1293" t="inlineStr">
        <is>
          <t>SKÅNE LÄN</t>
        </is>
      </c>
      <c r="E1293" t="inlineStr">
        <is>
          <t>HÖÖR</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6048-2022</t>
        </is>
      </c>
      <c r="B1294" s="1" t="n">
        <v>44599.5174537037</v>
      </c>
      <c r="C1294" s="1" t="n">
        <v>45962</v>
      </c>
      <c r="D1294" t="inlineStr">
        <is>
          <t>SKÅNE LÄN</t>
        </is>
      </c>
      <c r="E1294" t="inlineStr">
        <is>
          <t>HÄSSLEHOLM</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32705-2023</t>
        </is>
      </c>
      <c r="B1295" s="1" t="n">
        <v>45121</v>
      </c>
      <c r="C1295" s="1" t="n">
        <v>45962</v>
      </c>
      <c r="D1295" t="inlineStr">
        <is>
          <t>SKÅNE LÄN</t>
        </is>
      </c>
      <c r="E1295" t="inlineStr">
        <is>
          <t>KRISTIANSTAD</t>
        </is>
      </c>
      <c r="F1295" t="inlineStr">
        <is>
          <t>Sveaskog</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34976-2023</t>
        </is>
      </c>
      <c r="B1296" s="1" t="n">
        <v>45142.62859953703</v>
      </c>
      <c r="C1296" s="1" t="n">
        <v>45962</v>
      </c>
      <c r="D1296" t="inlineStr">
        <is>
          <t>SKÅNE LÄN</t>
        </is>
      </c>
      <c r="E1296" t="inlineStr">
        <is>
          <t>ÖSTRA GÖINGE</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35026-2023</t>
        </is>
      </c>
      <c r="B1297" s="1" t="n">
        <v>45144.5925</v>
      </c>
      <c r="C1297" s="1" t="n">
        <v>45962</v>
      </c>
      <c r="D1297" t="inlineStr">
        <is>
          <t>SKÅNE LÄN</t>
        </is>
      </c>
      <c r="E1297" t="inlineStr">
        <is>
          <t>KRISTIANSTAD</t>
        </is>
      </c>
      <c r="F1297" t="inlineStr">
        <is>
          <t>Övriga Aktiebolag</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13431-2022</t>
        </is>
      </c>
      <c r="B1298" s="1" t="n">
        <v>44645.58700231482</v>
      </c>
      <c r="C1298" s="1" t="n">
        <v>45962</v>
      </c>
      <c r="D1298" t="inlineStr">
        <is>
          <t>SKÅNE LÄN</t>
        </is>
      </c>
      <c r="E1298" t="inlineStr">
        <is>
          <t>KRISTIANSTAD</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16110-2024</t>
        </is>
      </c>
      <c r="B1299" s="1" t="n">
        <v>45406</v>
      </c>
      <c r="C1299" s="1" t="n">
        <v>45962</v>
      </c>
      <c r="D1299" t="inlineStr">
        <is>
          <t>SKÅNE LÄN</t>
        </is>
      </c>
      <c r="E1299" t="inlineStr">
        <is>
          <t>HÖÖR</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4229-2025</t>
        </is>
      </c>
      <c r="B1300" s="1" t="n">
        <v>45685.54848379629</v>
      </c>
      <c r="C1300" s="1" t="n">
        <v>45962</v>
      </c>
      <c r="D1300" t="inlineStr">
        <is>
          <t>SKÅNE LÄN</t>
        </is>
      </c>
      <c r="E1300" t="inlineStr">
        <is>
          <t>OSBY</t>
        </is>
      </c>
      <c r="F1300" t="inlineStr">
        <is>
          <t>Sveaskog</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4245-2025</t>
        </is>
      </c>
      <c r="B1301" s="1" t="n">
        <v>45685</v>
      </c>
      <c r="C1301" s="1" t="n">
        <v>45962</v>
      </c>
      <c r="D1301" t="inlineStr">
        <is>
          <t>SKÅNE LÄN</t>
        </is>
      </c>
      <c r="E1301" t="inlineStr">
        <is>
          <t>HÖÖR</t>
        </is>
      </c>
      <c r="G1301" t="n">
        <v>0.3</v>
      </c>
      <c r="H1301" t="n">
        <v>0</v>
      </c>
      <c r="I1301" t="n">
        <v>0</v>
      </c>
      <c r="J1301" t="n">
        <v>0</v>
      </c>
      <c r="K1301" t="n">
        <v>0</v>
      </c>
      <c r="L1301" t="n">
        <v>0</v>
      </c>
      <c r="M1301" t="n">
        <v>0</v>
      </c>
      <c r="N1301" t="n">
        <v>0</v>
      </c>
      <c r="O1301" t="n">
        <v>0</v>
      </c>
      <c r="P1301" t="n">
        <v>0</v>
      </c>
      <c r="Q1301" t="n">
        <v>0</v>
      </c>
      <c r="R1301" s="2" t="inlineStr"/>
    </row>
    <row r="1302" ht="15" customHeight="1">
      <c r="A1302" t="inlineStr">
        <is>
          <t>A 243-2025</t>
        </is>
      </c>
      <c r="B1302" s="1" t="n">
        <v>45660</v>
      </c>
      <c r="C1302" s="1" t="n">
        <v>45962</v>
      </c>
      <c r="D1302" t="inlineStr">
        <is>
          <t>SKÅNE LÄN</t>
        </is>
      </c>
      <c r="E1302" t="inlineStr">
        <is>
          <t>KLIPPAN</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27233-2022</t>
        </is>
      </c>
      <c r="B1303" s="1" t="n">
        <v>44741</v>
      </c>
      <c r="C1303" s="1" t="n">
        <v>45962</v>
      </c>
      <c r="D1303" t="inlineStr">
        <is>
          <t>SKÅNE LÄN</t>
        </is>
      </c>
      <c r="E1303" t="inlineStr">
        <is>
          <t>HÖÖR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67669-2021</t>
        </is>
      </c>
      <c r="B1304" s="1" t="n">
        <v>44524.90207175926</v>
      </c>
      <c r="C1304" s="1" t="n">
        <v>45962</v>
      </c>
      <c r="D1304" t="inlineStr">
        <is>
          <t>SKÅNE LÄN</t>
        </is>
      </c>
      <c r="E1304" t="inlineStr">
        <is>
          <t>PERSTORP</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57798-2022</t>
        </is>
      </c>
      <c r="B1305" s="1" t="n">
        <v>44897</v>
      </c>
      <c r="C1305" s="1" t="n">
        <v>45962</v>
      </c>
      <c r="D1305" t="inlineStr">
        <is>
          <t>SKÅNE LÄN</t>
        </is>
      </c>
      <c r="E1305" t="inlineStr">
        <is>
          <t>SVEDALA</t>
        </is>
      </c>
      <c r="G1305" t="n">
        <v>8.9</v>
      </c>
      <c r="H1305" t="n">
        <v>0</v>
      </c>
      <c r="I1305" t="n">
        <v>0</v>
      </c>
      <c r="J1305" t="n">
        <v>0</v>
      </c>
      <c r="K1305" t="n">
        <v>0</v>
      </c>
      <c r="L1305" t="n">
        <v>0</v>
      </c>
      <c r="M1305" t="n">
        <v>0</v>
      </c>
      <c r="N1305" t="n">
        <v>0</v>
      </c>
      <c r="O1305" t="n">
        <v>0</v>
      </c>
      <c r="P1305" t="n">
        <v>0</v>
      </c>
      <c r="Q1305" t="n">
        <v>0</v>
      </c>
      <c r="R1305" s="2" t="inlineStr"/>
    </row>
    <row r="1306" ht="15" customHeight="1">
      <c r="A1306" t="inlineStr">
        <is>
          <t>A 57803-2022</t>
        </is>
      </c>
      <c r="B1306" s="1" t="n">
        <v>44897</v>
      </c>
      <c r="C1306" s="1" t="n">
        <v>45962</v>
      </c>
      <c r="D1306" t="inlineStr">
        <is>
          <t>SKÅNE LÄN</t>
        </is>
      </c>
      <c r="E1306" t="inlineStr">
        <is>
          <t>SVEDALA</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38084-2024</t>
        </is>
      </c>
      <c r="B1307" s="1" t="n">
        <v>45545.31864583334</v>
      </c>
      <c r="C1307" s="1" t="n">
        <v>45962</v>
      </c>
      <c r="D1307" t="inlineStr">
        <is>
          <t>SKÅNE LÄN</t>
        </is>
      </c>
      <c r="E1307" t="inlineStr">
        <is>
          <t>HÖRBY</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8250-2023</t>
        </is>
      </c>
      <c r="B1308" s="1" t="n">
        <v>44974</v>
      </c>
      <c r="C1308" s="1" t="n">
        <v>45962</v>
      </c>
      <c r="D1308" t="inlineStr">
        <is>
          <t>SKÅNE LÄN</t>
        </is>
      </c>
      <c r="E1308" t="inlineStr">
        <is>
          <t>HÄSSLEHOLM</t>
        </is>
      </c>
      <c r="G1308" t="n">
        <v>3</v>
      </c>
      <c r="H1308" t="n">
        <v>0</v>
      </c>
      <c r="I1308" t="n">
        <v>0</v>
      </c>
      <c r="J1308" t="n">
        <v>0</v>
      </c>
      <c r="K1308" t="n">
        <v>0</v>
      </c>
      <c r="L1308" t="n">
        <v>0</v>
      </c>
      <c r="M1308" t="n">
        <v>0</v>
      </c>
      <c r="N1308" t="n">
        <v>0</v>
      </c>
      <c r="O1308" t="n">
        <v>0</v>
      </c>
      <c r="P1308" t="n">
        <v>0</v>
      </c>
      <c r="Q1308" t="n">
        <v>0</v>
      </c>
      <c r="R1308" s="2" t="inlineStr"/>
    </row>
    <row r="1309" ht="15" customHeight="1">
      <c r="A1309" t="inlineStr">
        <is>
          <t>A 21329-2023</t>
        </is>
      </c>
      <c r="B1309" s="1" t="n">
        <v>45062</v>
      </c>
      <c r="C1309" s="1" t="n">
        <v>45962</v>
      </c>
      <c r="D1309" t="inlineStr">
        <is>
          <t>SKÅNE LÄN</t>
        </is>
      </c>
      <c r="E1309" t="inlineStr">
        <is>
          <t>HÄSSLEHOLM</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38486-2024</t>
        </is>
      </c>
      <c r="B1310" s="1" t="n">
        <v>45546.49244212963</v>
      </c>
      <c r="C1310" s="1" t="n">
        <v>45962</v>
      </c>
      <c r="D1310" t="inlineStr">
        <is>
          <t>SKÅNE LÄN</t>
        </is>
      </c>
      <c r="E1310" t="inlineStr">
        <is>
          <t>OSBY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65640-2020</t>
        </is>
      </c>
      <c r="B1311" s="1" t="n">
        <v>44174</v>
      </c>
      <c r="C1311" s="1" t="n">
        <v>45962</v>
      </c>
      <c r="D1311" t="inlineStr">
        <is>
          <t>SKÅNE LÄN</t>
        </is>
      </c>
      <c r="E1311" t="inlineStr">
        <is>
          <t>OSBY</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26158-2023</t>
        </is>
      </c>
      <c r="B1312" s="1" t="n">
        <v>45091.50614583334</v>
      </c>
      <c r="C1312" s="1" t="n">
        <v>45962</v>
      </c>
      <c r="D1312" t="inlineStr">
        <is>
          <t>SKÅNE LÄN</t>
        </is>
      </c>
      <c r="E1312" t="inlineStr">
        <is>
          <t>OSBY</t>
        </is>
      </c>
      <c r="G1312" t="n">
        <v>7.4</v>
      </c>
      <c r="H1312" t="n">
        <v>0</v>
      </c>
      <c r="I1312" t="n">
        <v>0</v>
      </c>
      <c r="J1312" t="n">
        <v>0</v>
      </c>
      <c r="K1312" t="n">
        <v>0</v>
      </c>
      <c r="L1312" t="n">
        <v>0</v>
      </c>
      <c r="M1312" t="n">
        <v>0</v>
      </c>
      <c r="N1312" t="n">
        <v>0</v>
      </c>
      <c r="O1312" t="n">
        <v>0</v>
      </c>
      <c r="P1312" t="n">
        <v>0</v>
      </c>
      <c r="Q1312" t="n">
        <v>0</v>
      </c>
      <c r="R1312" s="2" t="inlineStr"/>
    </row>
    <row r="1313" ht="15" customHeight="1">
      <c r="A1313" t="inlineStr">
        <is>
          <t>A 4708-2025</t>
        </is>
      </c>
      <c r="B1313" s="1" t="n">
        <v>45688</v>
      </c>
      <c r="C1313" s="1" t="n">
        <v>45962</v>
      </c>
      <c r="D1313" t="inlineStr">
        <is>
          <t>SKÅNE LÄN</t>
        </is>
      </c>
      <c r="E1313" t="inlineStr">
        <is>
          <t>OSBY</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59733-2023</t>
        </is>
      </c>
      <c r="B1314" s="1" t="n">
        <v>45257</v>
      </c>
      <c r="C1314" s="1" t="n">
        <v>45962</v>
      </c>
      <c r="D1314" t="inlineStr">
        <is>
          <t>SKÅNE LÄN</t>
        </is>
      </c>
      <c r="E1314" t="inlineStr">
        <is>
          <t>LUND</t>
        </is>
      </c>
      <c r="G1314" t="n">
        <v>8.9</v>
      </c>
      <c r="H1314" t="n">
        <v>0</v>
      </c>
      <c r="I1314" t="n">
        <v>0</v>
      </c>
      <c r="J1314" t="n">
        <v>0</v>
      </c>
      <c r="K1314" t="n">
        <v>0</v>
      </c>
      <c r="L1314" t="n">
        <v>0</v>
      </c>
      <c r="M1314" t="n">
        <v>0</v>
      </c>
      <c r="N1314" t="n">
        <v>0</v>
      </c>
      <c r="O1314" t="n">
        <v>0</v>
      </c>
      <c r="P1314" t="n">
        <v>0</v>
      </c>
      <c r="Q1314" t="n">
        <v>0</v>
      </c>
      <c r="R1314" s="2" t="inlineStr"/>
    </row>
    <row r="1315" ht="15" customHeight="1">
      <c r="A1315" t="inlineStr">
        <is>
          <t>A 6968-2022</t>
        </is>
      </c>
      <c r="B1315" s="1" t="n">
        <v>44603.3712037037</v>
      </c>
      <c r="C1315" s="1" t="n">
        <v>45962</v>
      </c>
      <c r="D1315" t="inlineStr">
        <is>
          <t>SKÅNE LÄN</t>
        </is>
      </c>
      <c r="E1315" t="inlineStr">
        <is>
          <t>OSBY</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57079-2022</t>
        </is>
      </c>
      <c r="B1316" s="1" t="n">
        <v>44895</v>
      </c>
      <c r="C1316" s="1" t="n">
        <v>45962</v>
      </c>
      <c r="D1316" t="inlineStr">
        <is>
          <t>SKÅNE LÄN</t>
        </is>
      </c>
      <c r="E1316" t="inlineStr">
        <is>
          <t>HÄSSLEHOLM</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10372-2022</t>
        </is>
      </c>
      <c r="B1317" s="1" t="n">
        <v>44623.393125</v>
      </c>
      <c r="C1317" s="1" t="n">
        <v>45962</v>
      </c>
      <c r="D1317" t="inlineStr">
        <is>
          <t>SKÅNE LÄN</t>
        </is>
      </c>
      <c r="E1317" t="inlineStr">
        <is>
          <t>OSBY</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32156-2023</t>
        </is>
      </c>
      <c r="B1318" s="1" t="n">
        <v>45106</v>
      </c>
      <c r="C1318" s="1" t="n">
        <v>45962</v>
      </c>
      <c r="D1318" t="inlineStr">
        <is>
          <t>SKÅNE LÄN</t>
        </is>
      </c>
      <c r="E1318" t="inlineStr">
        <is>
          <t>KRISTIANSTAD</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3908-2022</t>
        </is>
      </c>
      <c r="B1319" s="1" t="n">
        <v>44587.49263888889</v>
      </c>
      <c r="C1319" s="1" t="n">
        <v>45962</v>
      </c>
      <c r="D1319" t="inlineStr">
        <is>
          <t>SKÅNE LÄN</t>
        </is>
      </c>
      <c r="E1319" t="inlineStr">
        <is>
          <t>KRISTIANSTAD</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3406-2025</t>
        </is>
      </c>
      <c r="B1320" s="1" t="n">
        <v>45680</v>
      </c>
      <c r="C1320" s="1" t="n">
        <v>45962</v>
      </c>
      <c r="D1320" t="inlineStr">
        <is>
          <t>SKÅNE LÄN</t>
        </is>
      </c>
      <c r="E1320" t="inlineStr">
        <is>
          <t>ÖSTRA GÖINGE</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15688-2023</t>
        </is>
      </c>
      <c r="B1321" s="1" t="n">
        <v>45021.46637731481</v>
      </c>
      <c r="C1321" s="1" t="n">
        <v>45962</v>
      </c>
      <c r="D1321" t="inlineStr">
        <is>
          <t>SKÅNE LÄN</t>
        </is>
      </c>
      <c r="E1321" t="inlineStr">
        <is>
          <t>ÖSTRA GÖINGE</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14777-2025</t>
        </is>
      </c>
      <c r="B1322" s="1" t="n">
        <v>45742.69731481482</v>
      </c>
      <c r="C1322" s="1" t="n">
        <v>45962</v>
      </c>
      <c r="D1322" t="inlineStr">
        <is>
          <t>SKÅNE LÄN</t>
        </is>
      </c>
      <c r="E1322" t="inlineStr">
        <is>
          <t>OSBY</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5853-2022</t>
        </is>
      </c>
      <c r="B1323" s="1" t="n">
        <v>44596</v>
      </c>
      <c r="C1323" s="1" t="n">
        <v>45962</v>
      </c>
      <c r="D1323" t="inlineStr">
        <is>
          <t>SKÅNE LÄN</t>
        </is>
      </c>
      <c r="E1323" t="inlineStr">
        <is>
          <t>KRISTIANSTAD</t>
        </is>
      </c>
      <c r="G1323" t="n">
        <v>5.5</v>
      </c>
      <c r="H1323" t="n">
        <v>0</v>
      </c>
      <c r="I1323" t="n">
        <v>0</v>
      </c>
      <c r="J1323" t="n">
        <v>0</v>
      </c>
      <c r="K1323" t="n">
        <v>0</v>
      </c>
      <c r="L1323" t="n">
        <v>0</v>
      </c>
      <c r="M1323" t="n">
        <v>0</v>
      </c>
      <c r="N1323" t="n">
        <v>0</v>
      </c>
      <c r="O1323" t="n">
        <v>0</v>
      </c>
      <c r="P1323" t="n">
        <v>0</v>
      </c>
      <c r="Q1323" t="n">
        <v>0</v>
      </c>
      <c r="R1323" s="2" t="inlineStr"/>
    </row>
    <row r="1324" ht="15" customHeight="1">
      <c r="A1324" t="inlineStr">
        <is>
          <t>A 15698-2023</t>
        </is>
      </c>
      <c r="B1324" s="1" t="n">
        <v>45021</v>
      </c>
      <c r="C1324" s="1" t="n">
        <v>45962</v>
      </c>
      <c r="D1324" t="inlineStr">
        <is>
          <t>SKÅNE LÄN</t>
        </is>
      </c>
      <c r="E1324" t="inlineStr">
        <is>
          <t>HÄSSLEHOLM</t>
        </is>
      </c>
      <c r="F1324" t="inlineStr">
        <is>
          <t>Kommuner</t>
        </is>
      </c>
      <c r="G1324" t="n">
        <v>5.5</v>
      </c>
      <c r="H1324" t="n">
        <v>0</v>
      </c>
      <c r="I1324" t="n">
        <v>0</v>
      </c>
      <c r="J1324" t="n">
        <v>0</v>
      </c>
      <c r="K1324" t="n">
        <v>0</v>
      </c>
      <c r="L1324" t="n">
        <v>0</v>
      </c>
      <c r="M1324" t="n">
        <v>0</v>
      </c>
      <c r="N1324" t="n">
        <v>0</v>
      </c>
      <c r="O1324" t="n">
        <v>0</v>
      </c>
      <c r="P1324" t="n">
        <v>0</v>
      </c>
      <c r="Q1324" t="n">
        <v>0</v>
      </c>
      <c r="R1324" s="2" t="inlineStr"/>
    </row>
    <row r="1325" ht="15" customHeight="1">
      <c r="A1325" t="inlineStr">
        <is>
          <t>A 30136-2022</t>
        </is>
      </c>
      <c r="B1325" s="1" t="n">
        <v>44757.46511574074</v>
      </c>
      <c r="C1325" s="1" t="n">
        <v>45962</v>
      </c>
      <c r="D1325" t="inlineStr">
        <is>
          <t>SKÅNE LÄN</t>
        </is>
      </c>
      <c r="E1325" t="inlineStr">
        <is>
          <t>ÖRKELLJUNGA</t>
        </is>
      </c>
      <c r="F1325" t="inlineStr">
        <is>
          <t>Kyrkan</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1543-2024</t>
        </is>
      </c>
      <c r="B1326" s="1" t="n">
        <v>45306</v>
      </c>
      <c r="C1326" s="1" t="n">
        <v>45962</v>
      </c>
      <c r="D1326" t="inlineStr">
        <is>
          <t>SKÅNE LÄN</t>
        </is>
      </c>
      <c r="E1326" t="inlineStr">
        <is>
          <t>HÄSSLEHOLM</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51577-2023</t>
        </is>
      </c>
      <c r="B1327" s="1" t="n">
        <v>45222.45756944444</v>
      </c>
      <c r="C1327" s="1" t="n">
        <v>45962</v>
      </c>
      <c r="D1327" t="inlineStr">
        <is>
          <t>SKÅNE LÄN</t>
        </is>
      </c>
      <c r="E1327" t="inlineStr">
        <is>
          <t>ÖRKELLJUNGA</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61680-2022</t>
        </is>
      </c>
      <c r="B1328" s="1" t="n">
        <v>44917.36372685185</v>
      </c>
      <c r="C1328" s="1" t="n">
        <v>45962</v>
      </c>
      <c r="D1328" t="inlineStr">
        <is>
          <t>SKÅNE LÄN</t>
        </is>
      </c>
      <c r="E1328" t="inlineStr">
        <is>
          <t>HÄSSLEHOLM</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30087-2023</t>
        </is>
      </c>
      <c r="B1329" s="1" t="n">
        <v>45110</v>
      </c>
      <c r="C1329" s="1" t="n">
        <v>45962</v>
      </c>
      <c r="D1329" t="inlineStr">
        <is>
          <t>SKÅNE LÄN</t>
        </is>
      </c>
      <c r="E1329" t="inlineStr">
        <is>
          <t>HÖÖR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20566-2023</t>
        </is>
      </c>
      <c r="B1330" s="1" t="n">
        <v>45057</v>
      </c>
      <c r="C1330" s="1" t="n">
        <v>45962</v>
      </c>
      <c r="D1330" t="inlineStr">
        <is>
          <t>SKÅNE LÄN</t>
        </is>
      </c>
      <c r="E1330" t="inlineStr">
        <is>
          <t>HÄSSLEHOLM</t>
        </is>
      </c>
      <c r="G1330" t="n">
        <v>5.2</v>
      </c>
      <c r="H1330" t="n">
        <v>0</v>
      </c>
      <c r="I1330" t="n">
        <v>0</v>
      </c>
      <c r="J1330" t="n">
        <v>0</v>
      </c>
      <c r="K1330" t="n">
        <v>0</v>
      </c>
      <c r="L1330" t="n">
        <v>0</v>
      </c>
      <c r="M1330" t="n">
        <v>0</v>
      </c>
      <c r="N1330" t="n">
        <v>0</v>
      </c>
      <c r="O1330" t="n">
        <v>0</v>
      </c>
      <c r="P1330" t="n">
        <v>0</v>
      </c>
      <c r="Q1330" t="n">
        <v>0</v>
      </c>
      <c r="R1330" s="2" t="inlineStr"/>
    </row>
    <row r="1331" ht="15" customHeight="1">
      <c r="A1331" t="inlineStr">
        <is>
          <t>A 58638-2022</t>
        </is>
      </c>
      <c r="B1331" s="1" t="n">
        <v>44902.62528935185</v>
      </c>
      <c r="C1331" s="1" t="n">
        <v>45962</v>
      </c>
      <c r="D1331" t="inlineStr">
        <is>
          <t>SKÅNE LÄN</t>
        </is>
      </c>
      <c r="E1331" t="inlineStr">
        <is>
          <t>OSBY</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24020-2023</t>
        </is>
      </c>
      <c r="B1332" s="1" t="n">
        <v>45078.736875</v>
      </c>
      <c r="C1332" s="1" t="n">
        <v>45962</v>
      </c>
      <c r="D1332" t="inlineStr">
        <is>
          <t>SKÅNE LÄN</t>
        </is>
      </c>
      <c r="E1332" t="inlineStr">
        <is>
          <t>ÖSTRA GÖINGE</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18800-2023</t>
        </is>
      </c>
      <c r="B1333" s="1" t="n">
        <v>45044</v>
      </c>
      <c r="C1333" s="1" t="n">
        <v>45962</v>
      </c>
      <c r="D1333" t="inlineStr">
        <is>
          <t>SKÅNE LÄN</t>
        </is>
      </c>
      <c r="E1333" t="inlineStr">
        <is>
          <t>HÄSSLEHOLM</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55265-2023</t>
        </is>
      </c>
      <c r="B1334" s="1" t="n">
        <v>45237</v>
      </c>
      <c r="C1334" s="1" t="n">
        <v>45962</v>
      </c>
      <c r="D1334" t="inlineStr">
        <is>
          <t>SKÅNE LÄN</t>
        </is>
      </c>
      <c r="E1334" t="inlineStr">
        <is>
          <t>HÖRBY</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61489-2024</t>
        </is>
      </c>
      <c r="B1335" s="1" t="n">
        <v>45646.54875</v>
      </c>
      <c r="C1335" s="1" t="n">
        <v>45962</v>
      </c>
      <c r="D1335" t="inlineStr">
        <is>
          <t>SKÅNE LÄN</t>
        </is>
      </c>
      <c r="E1335" t="inlineStr">
        <is>
          <t>HÄSSLEHOLM</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6589-2025</t>
        </is>
      </c>
      <c r="B1336" s="1" t="n">
        <v>45700.30015046296</v>
      </c>
      <c r="C1336" s="1" t="n">
        <v>45962</v>
      </c>
      <c r="D1336" t="inlineStr">
        <is>
          <t>SKÅNE LÄN</t>
        </is>
      </c>
      <c r="E1336" t="inlineStr">
        <is>
          <t>HÖÖR</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37550-2024</t>
        </is>
      </c>
      <c r="B1337" s="1" t="n">
        <v>45541.43292824074</v>
      </c>
      <c r="C1337" s="1" t="n">
        <v>45962</v>
      </c>
      <c r="D1337" t="inlineStr">
        <is>
          <t>SKÅNE LÄN</t>
        </is>
      </c>
      <c r="E1337" t="inlineStr">
        <is>
          <t>ÖSTRA GÖINGE</t>
        </is>
      </c>
      <c r="G1337" t="n">
        <v>7.1</v>
      </c>
      <c r="H1337" t="n">
        <v>0</v>
      </c>
      <c r="I1337" t="n">
        <v>0</v>
      </c>
      <c r="J1337" t="n">
        <v>0</v>
      </c>
      <c r="K1337" t="n">
        <v>0</v>
      </c>
      <c r="L1337" t="n">
        <v>0</v>
      </c>
      <c r="M1337" t="n">
        <v>0</v>
      </c>
      <c r="N1337" t="n">
        <v>0</v>
      </c>
      <c r="O1337" t="n">
        <v>0</v>
      </c>
      <c r="P1337" t="n">
        <v>0</v>
      </c>
      <c r="Q1337" t="n">
        <v>0</v>
      </c>
      <c r="R1337" s="2" t="inlineStr"/>
    </row>
    <row r="1338" ht="15" customHeight="1">
      <c r="A1338" t="inlineStr">
        <is>
          <t>A 37559-2024</t>
        </is>
      </c>
      <c r="B1338" s="1" t="n">
        <v>45541.44021990741</v>
      </c>
      <c r="C1338" s="1" t="n">
        <v>45962</v>
      </c>
      <c r="D1338" t="inlineStr">
        <is>
          <t>SKÅNE LÄN</t>
        </is>
      </c>
      <c r="E1338" t="inlineStr">
        <is>
          <t>ÖSTRA GÖINGE</t>
        </is>
      </c>
      <c r="G1338" t="n">
        <v>6.3</v>
      </c>
      <c r="H1338" t="n">
        <v>0</v>
      </c>
      <c r="I1338" t="n">
        <v>0</v>
      </c>
      <c r="J1338" t="n">
        <v>0</v>
      </c>
      <c r="K1338" t="n">
        <v>0</v>
      </c>
      <c r="L1338" t="n">
        <v>0</v>
      </c>
      <c r="M1338" t="n">
        <v>0</v>
      </c>
      <c r="N1338" t="n">
        <v>0</v>
      </c>
      <c r="O1338" t="n">
        <v>0</v>
      </c>
      <c r="P1338" t="n">
        <v>0</v>
      </c>
      <c r="Q1338" t="n">
        <v>0</v>
      </c>
      <c r="R1338" s="2" t="inlineStr"/>
    </row>
    <row r="1339" ht="15" customHeight="1">
      <c r="A1339" t="inlineStr">
        <is>
          <t>A 38214-2023</t>
        </is>
      </c>
      <c r="B1339" s="1" t="n">
        <v>45161</v>
      </c>
      <c r="C1339" s="1" t="n">
        <v>45962</v>
      </c>
      <c r="D1339" t="inlineStr">
        <is>
          <t>SKÅNE LÄN</t>
        </is>
      </c>
      <c r="E1339" t="inlineStr">
        <is>
          <t>ÖRKELLJUNGA</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38324-2023</t>
        </is>
      </c>
      <c r="B1340" s="1" t="n">
        <v>45161.77145833334</v>
      </c>
      <c r="C1340" s="1" t="n">
        <v>45962</v>
      </c>
      <c r="D1340" t="inlineStr">
        <is>
          <t>SKÅNE LÄN</t>
        </is>
      </c>
      <c r="E1340" t="inlineStr">
        <is>
          <t>PERSTORP</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52522-2021</t>
        </is>
      </c>
      <c r="B1341" s="1" t="n">
        <v>44466.4562962963</v>
      </c>
      <c r="C1341" s="1" t="n">
        <v>45962</v>
      </c>
      <c r="D1341" t="inlineStr">
        <is>
          <t>SKÅNE LÄN</t>
        </is>
      </c>
      <c r="E1341" t="inlineStr">
        <is>
          <t>ÖSTRA GÖINGE</t>
        </is>
      </c>
      <c r="F1341" t="inlineStr">
        <is>
          <t>Sveaskog</t>
        </is>
      </c>
      <c r="G1341" t="n">
        <v>2.9</v>
      </c>
      <c r="H1341" t="n">
        <v>0</v>
      </c>
      <c r="I1341" t="n">
        <v>0</v>
      </c>
      <c r="J1341" t="n">
        <v>0</v>
      </c>
      <c r="K1341" t="n">
        <v>0</v>
      </c>
      <c r="L1341" t="n">
        <v>0</v>
      </c>
      <c r="M1341" t="n">
        <v>0</v>
      </c>
      <c r="N1341" t="n">
        <v>0</v>
      </c>
      <c r="O1341" t="n">
        <v>0</v>
      </c>
      <c r="P1341" t="n">
        <v>0</v>
      </c>
      <c r="Q1341" t="n">
        <v>0</v>
      </c>
      <c r="R1341" s="2" t="inlineStr"/>
    </row>
    <row r="1342" ht="15" customHeight="1">
      <c r="A1342" t="inlineStr">
        <is>
          <t>A 863-2025</t>
        </is>
      </c>
      <c r="B1342" s="1" t="n">
        <v>45665.61969907407</v>
      </c>
      <c r="C1342" s="1" t="n">
        <v>45962</v>
      </c>
      <c r="D1342" t="inlineStr">
        <is>
          <t>SKÅNE LÄN</t>
        </is>
      </c>
      <c r="E1342" t="inlineStr">
        <is>
          <t>OSBY</t>
        </is>
      </c>
      <c r="F1342" t="inlineStr">
        <is>
          <t>Sveaskog</t>
        </is>
      </c>
      <c r="G1342" t="n">
        <v>5</v>
      </c>
      <c r="H1342" t="n">
        <v>0</v>
      </c>
      <c r="I1342" t="n">
        <v>0</v>
      </c>
      <c r="J1342" t="n">
        <v>0</v>
      </c>
      <c r="K1342" t="n">
        <v>0</v>
      </c>
      <c r="L1342" t="n">
        <v>0</v>
      </c>
      <c r="M1342" t="n">
        <v>0</v>
      </c>
      <c r="N1342" t="n">
        <v>0</v>
      </c>
      <c r="O1342" t="n">
        <v>0</v>
      </c>
      <c r="P1342" t="n">
        <v>0</v>
      </c>
      <c r="Q1342" t="n">
        <v>0</v>
      </c>
      <c r="R1342" s="2" t="inlineStr"/>
    </row>
    <row r="1343" ht="15" customHeight="1">
      <c r="A1343" t="inlineStr">
        <is>
          <t>A 25388-2023</t>
        </is>
      </c>
      <c r="B1343" s="1" t="n">
        <v>45089.34219907408</v>
      </c>
      <c r="C1343" s="1" t="n">
        <v>45962</v>
      </c>
      <c r="D1343" t="inlineStr">
        <is>
          <t>SKÅNE LÄN</t>
        </is>
      </c>
      <c r="E1343" t="inlineStr">
        <is>
          <t>ESLÖV</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22794-2024</t>
        </is>
      </c>
      <c r="B1344" s="1" t="n">
        <v>45448.49752314815</v>
      </c>
      <c r="C1344" s="1" t="n">
        <v>45962</v>
      </c>
      <c r="D1344" t="inlineStr">
        <is>
          <t>SKÅNE LÄN</t>
        </is>
      </c>
      <c r="E1344" t="inlineStr">
        <is>
          <t>SVALÖV</t>
        </is>
      </c>
      <c r="G1344" t="n">
        <v>3.8</v>
      </c>
      <c r="H1344" t="n">
        <v>0</v>
      </c>
      <c r="I1344" t="n">
        <v>0</v>
      </c>
      <c r="J1344" t="n">
        <v>0</v>
      </c>
      <c r="K1344" t="n">
        <v>0</v>
      </c>
      <c r="L1344" t="n">
        <v>0</v>
      </c>
      <c r="M1344" t="n">
        <v>0</v>
      </c>
      <c r="N1344" t="n">
        <v>0</v>
      </c>
      <c r="O1344" t="n">
        <v>0</v>
      </c>
      <c r="P1344" t="n">
        <v>0</v>
      </c>
      <c r="Q1344" t="n">
        <v>0</v>
      </c>
      <c r="R1344" s="2" t="inlineStr"/>
    </row>
    <row r="1345" ht="15" customHeight="1">
      <c r="A1345" t="inlineStr">
        <is>
          <t>A 15565-2024</t>
        </is>
      </c>
      <c r="B1345" s="1" t="n">
        <v>45401.66103009259</v>
      </c>
      <c r="C1345" s="1" t="n">
        <v>45962</v>
      </c>
      <c r="D1345" t="inlineStr">
        <is>
          <t>SKÅNE LÄN</t>
        </is>
      </c>
      <c r="E1345" t="inlineStr">
        <is>
          <t>SVEDALA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22202-2023</t>
        </is>
      </c>
      <c r="B1346" s="1" t="n">
        <v>45069</v>
      </c>
      <c r="C1346" s="1" t="n">
        <v>45962</v>
      </c>
      <c r="D1346" t="inlineStr">
        <is>
          <t>SKÅNE LÄN</t>
        </is>
      </c>
      <c r="E1346" t="inlineStr">
        <is>
          <t>KLIPPAN</t>
        </is>
      </c>
      <c r="G1346" t="n">
        <v>7.5</v>
      </c>
      <c r="H1346" t="n">
        <v>0</v>
      </c>
      <c r="I1346" t="n">
        <v>0</v>
      </c>
      <c r="J1346" t="n">
        <v>0</v>
      </c>
      <c r="K1346" t="n">
        <v>0</v>
      </c>
      <c r="L1346" t="n">
        <v>0</v>
      </c>
      <c r="M1346" t="n">
        <v>0</v>
      </c>
      <c r="N1346" t="n">
        <v>0</v>
      </c>
      <c r="O1346" t="n">
        <v>0</v>
      </c>
      <c r="P1346" t="n">
        <v>0</v>
      </c>
      <c r="Q1346" t="n">
        <v>0</v>
      </c>
      <c r="R1346" s="2" t="inlineStr"/>
    </row>
    <row r="1347" ht="15" customHeight="1">
      <c r="A1347" t="inlineStr">
        <is>
          <t>A 32430-2023</t>
        </is>
      </c>
      <c r="B1347" s="1" t="n">
        <v>45120</v>
      </c>
      <c r="C1347" s="1" t="n">
        <v>45962</v>
      </c>
      <c r="D1347" t="inlineStr">
        <is>
          <t>SKÅNE LÄN</t>
        </is>
      </c>
      <c r="E1347" t="inlineStr">
        <is>
          <t>ÄNGELHOLM</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13211-2023</t>
        </is>
      </c>
      <c r="B1348" s="1" t="n">
        <v>45002.67038194444</v>
      </c>
      <c r="C1348" s="1" t="n">
        <v>45962</v>
      </c>
      <c r="D1348" t="inlineStr">
        <is>
          <t>SKÅNE LÄN</t>
        </is>
      </c>
      <c r="E1348" t="inlineStr">
        <is>
          <t>KRISTIANSTAD</t>
        </is>
      </c>
      <c r="F1348" t="inlineStr">
        <is>
          <t>Kyrkan</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64161-2020</t>
        </is>
      </c>
      <c r="B1349" s="1" t="n">
        <v>44167</v>
      </c>
      <c r="C1349" s="1" t="n">
        <v>45962</v>
      </c>
      <c r="D1349" t="inlineStr">
        <is>
          <t>SKÅNE LÄN</t>
        </is>
      </c>
      <c r="E1349" t="inlineStr">
        <is>
          <t>OSBY</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34886-2023</t>
        </is>
      </c>
      <c r="B1350" s="1" t="n">
        <v>45142.38450231482</v>
      </c>
      <c r="C1350" s="1" t="n">
        <v>45962</v>
      </c>
      <c r="D1350" t="inlineStr">
        <is>
          <t>SKÅNE LÄN</t>
        </is>
      </c>
      <c r="E1350" t="inlineStr">
        <is>
          <t>HÄSSLEHOLM</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41777-2023</t>
        </is>
      </c>
      <c r="B1351" s="1" t="n">
        <v>45176.46850694445</v>
      </c>
      <c r="C1351" s="1" t="n">
        <v>45962</v>
      </c>
      <c r="D1351" t="inlineStr">
        <is>
          <t>SKÅNE LÄN</t>
        </is>
      </c>
      <c r="E1351" t="inlineStr">
        <is>
          <t>ÖSTRA GÖINGE</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497-2023</t>
        </is>
      </c>
      <c r="B1352" s="1" t="n">
        <v>44930.33540509259</v>
      </c>
      <c r="C1352" s="1" t="n">
        <v>45962</v>
      </c>
      <c r="D1352" t="inlineStr">
        <is>
          <t>SKÅNE LÄN</t>
        </is>
      </c>
      <c r="E1352" t="inlineStr">
        <is>
          <t>SVALÖV</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60380-2024</t>
        </is>
      </c>
      <c r="B1353" s="1" t="n">
        <v>45643</v>
      </c>
      <c r="C1353" s="1" t="n">
        <v>45962</v>
      </c>
      <c r="D1353" t="inlineStr">
        <is>
          <t>SKÅNE LÄN</t>
        </is>
      </c>
      <c r="E1353" t="inlineStr">
        <is>
          <t>KRISTIANSTAD</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43851-2024</t>
        </is>
      </c>
      <c r="B1354" s="1" t="n">
        <v>45572.35173611111</v>
      </c>
      <c r="C1354" s="1" t="n">
        <v>45962</v>
      </c>
      <c r="D1354" t="inlineStr">
        <is>
          <t>SKÅNE LÄN</t>
        </is>
      </c>
      <c r="E1354" t="inlineStr">
        <is>
          <t>SIMRISHAMN</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1031-2025</t>
        </is>
      </c>
      <c r="B1355" s="1" t="n">
        <v>45666.5195949074</v>
      </c>
      <c r="C1355" s="1" t="n">
        <v>45962</v>
      </c>
      <c r="D1355" t="inlineStr">
        <is>
          <t>SKÅNE LÄN</t>
        </is>
      </c>
      <c r="E1355" t="inlineStr">
        <is>
          <t>SJÖBO</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2596-2024</t>
        </is>
      </c>
      <c r="B1356" s="1" t="n">
        <v>45313.69969907407</v>
      </c>
      <c r="C1356" s="1" t="n">
        <v>45962</v>
      </c>
      <c r="D1356" t="inlineStr">
        <is>
          <t>SKÅNE LÄN</t>
        </is>
      </c>
      <c r="E1356" t="inlineStr">
        <is>
          <t>HÄSSLEHOLM</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17699-2024</t>
        </is>
      </c>
      <c r="B1357" s="1" t="n">
        <v>45418.46094907408</v>
      </c>
      <c r="C1357" s="1" t="n">
        <v>45962</v>
      </c>
      <c r="D1357" t="inlineStr">
        <is>
          <t>SKÅNE LÄN</t>
        </is>
      </c>
      <c r="E1357" t="inlineStr">
        <is>
          <t>HÄSSLEHOLM</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17702-2024</t>
        </is>
      </c>
      <c r="B1358" s="1" t="n">
        <v>45418.46534722222</v>
      </c>
      <c r="C1358" s="1" t="n">
        <v>45962</v>
      </c>
      <c r="D1358" t="inlineStr">
        <is>
          <t>SKÅNE LÄN</t>
        </is>
      </c>
      <c r="E1358" t="inlineStr">
        <is>
          <t>HÄSSLEHOLM</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6056-2023</t>
        </is>
      </c>
      <c r="B1359" s="1" t="n">
        <v>44964</v>
      </c>
      <c r="C1359" s="1" t="n">
        <v>45962</v>
      </c>
      <c r="D1359" t="inlineStr">
        <is>
          <t>SKÅNE LÄN</t>
        </is>
      </c>
      <c r="E1359" t="inlineStr">
        <is>
          <t>HÖRBY</t>
        </is>
      </c>
      <c r="G1359" t="n">
        <v>0.1</v>
      </c>
      <c r="H1359" t="n">
        <v>0</v>
      </c>
      <c r="I1359" t="n">
        <v>0</v>
      </c>
      <c r="J1359" t="n">
        <v>0</v>
      </c>
      <c r="K1359" t="n">
        <v>0</v>
      </c>
      <c r="L1359" t="n">
        <v>0</v>
      </c>
      <c r="M1359" t="n">
        <v>0</v>
      </c>
      <c r="N1359" t="n">
        <v>0</v>
      </c>
      <c r="O1359" t="n">
        <v>0</v>
      </c>
      <c r="P1359" t="n">
        <v>0</v>
      </c>
      <c r="Q1359" t="n">
        <v>0</v>
      </c>
      <c r="R1359" s="2" t="inlineStr"/>
    </row>
    <row r="1360" ht="15" customHeight="1">
      <c r="A1360" t="inlineStr">
        <is>
          <t>A 61011-2023</t>
        </is>
      </c>
      <c r="B1360" s="1" t="n">
        <v>45261</v>
      </c>
      <c r="C1360" s="1" t="n">
        <v>45962</v>
      </c>
      <c r="D1360" t="inlineStr">
        <is>
          <t>SKÅNE LÄN</t>
        </is>
      </c>
      <c r="E1360" t="inlineStr">
        <is>
          <t>HÖÖR</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11272-2023</t>
        </is>
      </c>
      <c r="B1361" s="1" t="n">
        <v>44992.69829861111</v>
      </c>
      <c r="C1361" s="1" t="n">
        <v>45962</v>
      </c>
      <c r="D1361" t="inlineStr">
        <is>
          <t>SKÅNE LÄN</t>
        </is>
      </c>
      <c r="E1361" t="inlineStr">
        <is>
          <t>KRISTIANSTAD</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39834-2021</t>
        </is>
      </c>
      <c r="B1362" s="1" t="n">
        <v>44417</v>
      </c>
      <c r="C1362" s="1" t="n">
        <v>45962</v>
      </c>
      <c r="D1362" t="inlineStr">
        <is>
          <t>SKÅNE LÄN</t>
        </is>
      </c>
      <c r="E1362" t="inlineStr">
        <is>
          <t>SIMRISHAMN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6101-2022</t>
        </is>
      </c>
      <c r="B1363" s="1" t="n">
        <v>44599.63016203704</v>
      </c>
      <c r="C1363" s="1" t="n">
        <v>45962</v>
      </c>
      <c r="D1363" t="inlineStr">
        <is>
          <t>SKÅNE LÄN</t>
        </is>
      </c>
      <c r="E1363" t="inlineStr">
        <is>
          <t>HÄSSLEHOLM</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6842-2023</t>
        </is>
      </c>
      <c r="B1364" s="1" t="n">
        <v>44967</v>
      </c>
      <c r="C1364" s="1" t="n">
        <v>45962</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23813-2023</t>
        </is>
      </c>
      <c r="B1365" s="1" t="n">
        <v>45078</v>
      </c>
      <c r="C1365" s="1" t="n">
        <v>45962</v>
      </c>
      <c r="D1365" t="inlineStr">
        <is>
          <t>SKÅNE LÄN</t>
        </is>
      </c>
      <c r="E1365" t="inlineStr">
        <is>
          <t>OSBY</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20113-2024</t>
        </is>
      </c>
      <c r="B1366" s="1" t="n">
        <v>45434.52386574074</v>
      </c>
      <c r="C1366" s="1" t="n">
        <v>45962</v>
      </c>
      <c r="D1366" t="inlineStr">
        <is>
          <t>SKÅNE LÄN</t>
        </is>
      </c>
      <c r="E1366" t="inlineStr">
        <is>
          <t>OSBY</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59471-2024</t>
        </is>
      </c>
      <c r="B1367" s="1" t="n">
        <v>45638</v>
      </c>
      <c r="C1367" s="1" t="n">
        <v>45962</v>
      </c>
      <c r="D1367" t="inlineStr">
        <is>
          <t>SKÅNE LÄN</t>
        </is>
      </c>
      <c r="E1367" t="inlineStr">
        <is>
          <t>BJUV</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49228-2023</t>
        </is>
      </c>
      <c r="B1368" s="1" t="n">
        <v>45210</v>
      </c>
      <c r="C1368" s="1" t="n">
        <v>45962</v>
      </c>
      <c r="D1368" t="inlineStr">
        <is>
          <t>SKÅNE LÄN</t>
        </is>
      </c>
      <c r="E1368" t="inlineStr">
        <is>
          <t>ÖSTRA GÖINGE</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23786-2023</t>
        </is>
      </c>
      <c r="B1369" s="1" t="n">
        <v>45078.30322916667</v>
      </c>
      <c r="C1369" s="1" t="n">
        <v>45962</v>
      </c>
      <c r="D1369" t="inlineStr">
        <is>
          <t>SKÅNE LÄN</t>
        </is>
      </c>
      <c r="E1369" t="inlineStr">
        <is>
          <t>PERSTORP</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9578-2025</t>
        </is>
      </c>
      <c r="B1370" s="1" t="n">
        <v>45715.62634259259</v>
      </c>
      <c r="C1370" s="1" t="n">
        <v>45962</v>
      </c>
      <c r="D1370" t="inlineStr">
        <is>
          <t>SKÅNE LÄN</t>
        </is>
      </c>
      <c r="E1370" t="inlineStr">
        <is>
          <t>ÄNGELHOLM</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16951-2025</t>
        </is>
      </c>
      <c r="B1371" s="1" t="n">
        <v>45755</v>
      </c>
      <c r="C1371" s="1" t="n">
        <v>45962</v>
      </c>
      <c r="D1371" t="inlineStr">
        <is>
          <t>SKÅNE LÄN</t>
        </is>
      </c>
      <c r="E1371" t="inlineStr">
        <is>
          <t>HÄSSLEHOLM</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48747-2022</t>
        </is>
      </c>
      <c r="B1372" s="1" t="n">
        <v>44859</v>
      </c>
      <c r="C1372" s="1" t="n">
        <v>45962</v>
      </c>
      <c r="D1372" t="inlineStr">
        <is>
          <t>SKÅNE LÄN</t>
        </is>
      </c>
      <c r="E1372" t="inlineStr">
        <is>
          <t>HÄSSLEHOLM</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17025-2025</t>
        </is>
      </c>
      <c r="B1373" s="1" t="n">
        <v>45755</v>
      </c>
      <c r="C1373" s="1" t="n">
        <v>45962</v>
      </c>
      <c r="D1373" t="inlineStr">
        <is>
          <t>SKÅNE LÄN</t>
        </is>
      </c>
      <c r="E1373" t="inlineStr">
        <is>
          <t>KRISTIANSTAD</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6089-2023</t>
        </is>
      </c>
      <c r="B1374" s="1" t="n">
        <v>44964</v>
      </c>
      <c r="C1374" s="1" t="n">
        <v>45962</v>
      </c>
      <c r="D1374" t="inlineStr">
        <is>
          <t>SKÅNE LÄN</t>
        </is>
      </c>
      <c r="E1374" t="inlineStr">
        <is>
          <t>ÖSTRA GÖINGE</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16549-2025</t>
        </is>
      </c>
      <c r="B1375" s="1" t="n">
        <v>45751.68946759259</v>
      </c>
      <c r="C1375" s="1" t="n">
        <v>45962</v>
      </c>
      <c r="D1375" t="inlineStr">
        <is>
          <t>SKÅNE LÄN</t>
        </is>
      </c>
      <c r="E1375" t="inlineStr">
        <is>
          <t>KRISTIANSTAD</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45359-2023</t>
        </is>
      </c>
      <c r="B1376" s="1" t="n">
        <v>45192</v>
      </c>
      <c r="C1376" s="1" t="n">
        <v>45962</v>
      </c>
      <c r="D1376" t="inlineStr">
        <is>
          <t>SKÅNE LÄN</t>
        </is>
      </c>
      <c r="E1376" t="inlineStr">
        <is>
          <t>ÖSTRA GÖINGE</t>
        </is>
      </c>
      <c r="G1376" t="n">
        <v>2.4</v>
      </c>
      <c r="H1376" t="n">
        <v>0</v>
      </c>
      <c r="I1376" t="n">
        <v>0</v>
      </c>
      <c r="J1376" t="n">
        <v>0</v>
      </c>
      <c r="K1376" t="n">
        <v>0</v>
      </c>
      <c r="L1376" t="n">
        <v>0</v>
      </c>
      <c r="M1376" t="n">
        <v>0</v>
      </c>
      <c r="N1376" t="n">
        <v>0</v>
      </c>
      <c r="O1376" t="n">
        <v>0</v>
      </c>
      <c r="P1376" t="n">
        <v>0</v>
      </c>
      <c r="Q1376" t="n">
        <v>0</v>
      </c>
      <c r="R1376" s="2" t="inlineStr"/>
    </row>
    <row r="1377" ht="15" customHeight="1">
      <c r="A1377" t="inlineStr">
        <is>
          <t>A 21767-2023</t>
        </is>
      </c>
      <c r="B1377" s="1" t="n">
        <v>45065</v>
      </c>
      <c r="C1377" s="1" t="n">
        <v>45962</v>
      </c>
      <c r="D1377" t="inlineStr">
        <is>
          <t>SKÅNE LÄN</t>
        </is>
      </c>
      <c r="E1377" t="inlineStr">
        <is>
          <t>LUND</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32620-2023</t>
        </is>
      </c>
      <c r="B1378" s="1" t="n">
        <v>45111</v>
      </c>
      <c r="C1378" s="1" t="n">
        <v>45962</v>
      </c>
      <c r="D1378" t="inlineStr">
        <is>
          <t>SKÅNE LÄN</t>
        </is>
      </c>
      <c r="E1378" t="inlineStr">
        <is>
          <t>SVALÖV</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7387-2022</t>
        </is>
      </c>
      <c r="B1379" s="1" t="n">
        <v>44606.62732638889</v>
      </c>
      <c r="C1379" s="1" t="n">
        <v>45962</v>
      </c>
      <c r="D1379" t="inlineStr">
        <is>
          <t>SKÅNE LÄN</t>
        </is>
      </c>
      <c r="E1379" t="inlineStr">
        <is>
          <t>ÖSTRA GÖINGE</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58279-2024</t>
        </is>
      </c>
      <c r="B1380" s="1" t="n">
        <v>45632.57564814815</v>
      </c>
      <c r="C1380" s="1" t="n">
        <v>45962</v>
      </c>
      <c r="D1380" t="inlineStr">
        <is>
          <t>SKÅNE LÄN</t>
        </is>
      </c>
      <c r="E1380" t="inlineStr">
        <is>
          <t>ÖSTRA GÖINGE</t>
        </is>
      </c>
      <c r="G1380" t="n">
        <v>9.4</v>
      </c>
      <c r="H1380" t="n">
        <v>0</v>
      </c>
      <c r="I1380" t="n">
        <v>0</v>
      </c>
      <c r="J1380" t="n">
        <v>0</v>
      </c>
      <c r="K1380" t="n">
        <v>0</v>
      </c>
      <c r="L1380" t="n">
        <v>0</v>
      </c>
      <c r="M1380" t="n">
        <v>0</v>
      </c>
      <c r="N1380" t="n">
        <v>0</v>
      </c>
      <c r="O1380" t="n">
        <v>0</v>
      </c>
      <c r="P1380" t="n">
        <v>0</v>
      </c>
      <c r="Q1380" t="n">
        <v>0</v>
      </c>
      <c r="R1380" s="2" t="inlineStr"/>
    </row>
    <row r="1381" ht="15" customHeight="1">
      <c r="A1381" t="inlineStr">
        <is>
          <t>A 59601-2023</t>
        </is>
      </c>
      <c r="B1381" s="1" t="n">
        <v>45254.62699074074</v>
      </c>
      <c r="C1381" s="1" t="n">
        <v>45962</v>
      </c>
      <c r="D1381" t="inlineStr">
        <is>
          <t>SKÅNE LÄN</t>
        </is>
      </c>
      <c r="E1381" t="inlineStr">
        <is>
          <t>ÖSTRA GÖINGE</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38173-2023</t>
        </is>
      </c>
      <c r="B1382" s="1" t="n">
        <v>45161.44363425926</v>
      </c>
      <c r="C1382" s="1" t="n">
        <v>45962</v>
      </c>
      <c r="D1382" t="inlineStr">
        <is>
          <t>SKÅNE LÄN</t>
        </is>
      </c>
      <c r="E1382" t="inlineStr">
        <is>
          <t>ESLÖV</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35825-2023</t>
        </is>
      </c>
      <c r="B1383" s="1" t="n">
        <v>45147</v>
      </c>
      <c r="C1383" s="1" t="n">
        <v>45962</v>
      </c>
      <c r="D1383" t="inlineStr">
        <is>
          <t>SKÅNE LÄN</t>
        </is>
      </c>
      <c r="E1383" t="inlineStr">
        <is>
          <t>ÖSTRA GÖINGE</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61711-2024</t>
        </is>
      </c>
      <c r="B1384" s="1" t="n">
        <v>45648.67697916667</v>
      </c>
      <c r="C1384" s="1" t="n">
        <v>45962</v>
      </c>
      <c r="D1384" t="inlineStr">
        <is>
          <t>SKÅNE LÄN</t>
        </is>
      </c>
      <c r="E1384" t="inlineStr">
        <is>
          <t>OSBY</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63029-2023</t>
        </is>
      </c>
      <c r="B1385" s="1" t="n">
        <v>45272</v>
      </c>
      <c r="C1385" s="1" t="n">
        <v>45962</v>
      </c>
      <c r="D1385" t="inlineStr">
        <is>
          <t>SKÅNE LÄN</t>
        </is>
      </c>
      <c r="E1385" t="inlineStr">
        <is>
          <t>ÖRKELLJUNGA</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58284-2023</t>
        </is>
      </c>
      <c r="B1386" s="1" t="n">
        <v>45250.53486111111</v>
      </c>
      <c r="C1386" s="1" t="n">
        <v>45962</v>
      </c>
      <c r="D1386" t="inlineStr">
        <is>
          <t>SKÅNE LÄN</t>
        </is>
      </c>
      <c r="E1386" t="inlineStr">
        <is>
          <t>ÖRKELLJUNGA</t>
        </is>
      </c>
      <c r="G1386" t="n">
        <v>0.3</v>
      </c>
      <c r="H1386" t="n">
        <v>0</v>
      </c>
      <c r="I1386" t="n">
        <v>0</v>
      </c>
      <c r="J1386" t="n">
        <v>0</v>
      </c>
      <c r="K1386" t="n">
        <v>0</v>
      </c>
      <c r="L1386" t="n">
        <v>0</v>
      </c>
      <c r="M1386" t="n">
        <v>0</v>
      </c>
      <c r="N1386" t="n">
        <v>0</v>
      </c>
      <c r="O1386" t="n">
        <v>0</v>
      </c>
      <c r="P1386" t="n">
        <v>0</v>
      </c>
      <c r="Q1386" t="n">
        <v>0</v>
      </c>
      <c r="R1386" s="2" t="inlineStr"/>
    </row>
    <row r="1387" ht="15" customHeight="1">
      <c r="A1387" t="inlineStr">
        <is>
          <t>A 16614-2025</t>
        </is>
      </c>
      <c r="B1387" s="1" t="n">
        <v>45754.283125</v>
      </c>
      <c r="C1387" s="1" t="n">
        <v>45962</v>
      </c>
      <c r="D1387" t="inlineStr">
        <is>
          <t>SKÅNE LÄN</t>
        </is>
      </c>
      <c r="E1387" t="inlineStr">
        <is>
          <t>HÄSSLEHOLM</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3888-2024</t>
        </is>
      </c>
      <c r="B1388" s="1" t="n">
        <v>45322.45089120371</v>
      </c>
      <c r="C1388" s="1" t="n">
        <v>45962</v>
      </c>
      <c r="D1388" t="inlineStr">
        <is>
          <t>SKÅNE LÄN</t>
        </is>
      </c>
      <c r="E1388" t="inlineStr">
        <is>
          <t>HÄSSLEHOLM</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3889-2024</t>
        </is>
      </c>
      <c r="B1389" s="1" t="n">
        <v>45322.45234953704</v>
      </c>
      <c r="C1389" s="1" t="n">
        <v>45962</v>
      </c>
      <c r="D1389" t="inlineStr">
        <is>
          <t>SKÅNE LÄN</t>
        </is>
      </c>
      <c r="E1389" t="inlineStr">
        <is>
          <t>HÄSSLEHOLM</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40275-2023</t>
        </is>
      </c>
      <c r="B1390" s="1" t="n">
        <v>45169</v>
      </c>
      <c r="C1390" s="1" t="n">
        <v>45962</v>
      </c>
      <c r="D1390" t="inlineStr">
        <is>
          <t>SKÅNE LÄN</t>
        </is>
      </c>
      <c r="E1390" t="inlineStr">
        <is>
          <t>ÄNGELHOLM</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25077-2024</t>
        </is>
      </c>
      <c r="B1391" s="1" t="n">
        <v>45462</v>
      </c>
      <c r="C1391" s="1" t="n">
        <v>45962</v>
      </c>
      <c r="D1391" t="inlineStr">
        <is>
          <t>SKÅNE LÄN</t>
        </is>
      </c>
      <c r="E1391" t="inlineStr">
        <is>
          <t>HÄSSLEHOLM</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3294-2025</t>
        </is>
      </c>
      <c r="B1392" s="1" t="n">
        <v>45679.64125</v>
      </c>
      <c r="C1392" s="1" t="n">
        <v>45962</v>
      </c>
      <c r="D1392" t="inlineStr">
        <is>
          <t>SKÅNE LÄN</t>
        </is>
      </c>
      <c r="E1392" t="inlineStr">
        <is>
          <t>HÄSSLEHOLM</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4610-2024</t>
        </is>
      </c>
      <c r="B1393" s="1" t="n">
        <v>45328</v>
      </c>
      <c r="C1393" s="1" t="n">
        <v>45962</v>
      </c>
      <c r="D1393" t="inlineStr">
        <is>
          <t>SKÅNE LÄN</t>
        </is>
      </c>
      <c r="E1393" t="inlineStr">
        <is>
          <t>KRISTIANSTAD</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9669-2025</t>
        </is>
      </c>
      <c r="B1394" s="1" t="n">
        <v>45716.32921296296</v>
      </c>
      <c r="C1394" s="1" t="n">
        <v>45962</v>
      </c>
      <c r="D1394" t="inlineStr">
        <is>
          <t>SKÅNE LÄN</t>
        </is>
      </c>
      <c r="E1394" t="inlineStr">
        <is>
          <t>HÄSSLEHOLM</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13344-2023</t>
        </is>
      </c>
      <c r="B1395" s="1" t="n">
        <v>45005</v>
      </c>
      <c r="C1395" s="1" t="n">
        <v>45962</v>
      </c>
      <c r="D1395" t="inlineStr">
        <is>
          <t>SKÅNE LÄN</t>
        </is>
      </c>
      <c r="E1395" t="inlineStr">
        <is>
          <t>SVEDALA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62149-2022</t>
        </is>
      </c>
      <c r="B1396" s="1" t="n">
        <v>44922</v>
      </c>
      <c r="C1396" s="1" t="n">
        <v>45962</v>
      </c>
      <c r="D1396" t="inlineStr">
        <is>
          <t>SKÅNE LÄN</t>
        </is>
      </c>
      <c r="E1396" t="inlineStr">
        <is>
          <t>SIMRISHAMN</t>
        </is>
      </c>
      <c r="F1396" t="inlineStr">
        <is>
          <t>Övriga Aktiebolag</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19390-2023</t>
        </is>
      </c>
      <c r="B1397" s="1" t="n">
        <v>45048</v>
      </c>
      <c r="C1397" s="1" t="n">
        <v>45962</v>
      </c>
      <c r="D1397" t="inlineStr">
        <is>
          <t>SKÅNE LÄN</t>
        </is>
      </c>
      <c r="E1397" t="inlineStr">
        <is>
          <t>ÖRKELLJUNGA</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37675-2023</t>
        </is>
      </c>
      <c r="B1398" s="1" t="n">
        <v>45159.5582175926</v>
      </c>
      <c r="C1398" s="1" t="n">
        <v>45962</v>
      </c>
      <c r="D1398" t="inlineStr">
        <is>
          <t>SKÅNE LÄN</t>
        </is>
      </c>
      <c r="E1398" t="inlineStr">
        <is>
          <t>HÖÖR</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21656-2023</t>
        </is>
      </c>
      <c r="B1399" s="1" t="n">
        <v>45063.80594907407</v>
      </c>
      <c r="C1399" s="1" t="n">
        <v>45962</v>
      </c>
      <c r="D1399" t="inlineStr">
        <is>
          <t>SKÅNE LÄN</t>
        </is>
      </c>
      <c r="E1399" t="inlineStr">
        <is>
          <t>OSBY</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18609-2025</t>
        </is>
      </c>
      <c r="B1400" s="1" t="n">
        <v>45763</v>
      </c>
      <c r="C1400" s="1" t="n">
        <v>45962</v>
      </c>
      <c r="D1400" t="inlineStr">
        <is>
          <t>SKÅNE LÄN</t>
        </is>
      </c>
      <c r="E1400" t="inlineStr">
        <is>
          <t>HÖRBY</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31995-2023</t>
        </is>
      </c>
      <c r="B1401" s="1" t="n">
        <v>45107</v>
      </c>
      <c r="C1401" s="1" t="n">
        <v>45962</v>
      </c>
      <c r="D1401" t="inlineStr">
        <is>
          <t>SKÅNE LÄN</t>
        </is>
      </c>
      <c r="E1401" t="inlineStr">
        <is>
          <t>HÄSSLEHOLM</t>
        </is>
      </c>
      <c r="G1401" t="n">
        <v>7.3</v>
      </c>
      <c r="H1401" t="n">
        <v>0</v>
      </c>
      <c r="I1401" t="n">
        <v>0</v>
      </c>
      <c r="J1401" t="n">
        <v>0</v>
      </c>
      <c r="K1401" t="n">
        <v>0</v>
      </c>
      <c r="L1401" t="n">
        <v>0</v>
      </c>
      <c r="M1401" t="n">
        <v>0</v>
      </c>
      <c r="N1401" t="n">
        <v>0</v>
      </c>
      <c r="O1401" t="n">
        <v>0</v>
      </c>
      <c r="P1401" t="n">
        <v>0</v>
      </c>
      <c r="Q1401" t="n">
        <v>0</v>
      </c>
      <c r="R1401" s="2" t="inlineStr"/>
    </row>
    <row r="1402" ht="15" customHeight="1">
      <c r="A1402" t="inlineStr">
        <is>
          <t>A 31998-2023</t>
        </is>
      </c>
      <c r="B1402" s="1" t="n">
        <v>45119</v>
      </c>
      <c r="C1402" s="1" t="n">
        <v>45962</v>
      </c>
      <c r="D1402" t="inlineStr">
        <is>
          <t>SKÅNE LÄN</t>
        </is>
      </c>
      <c r="E1402" t="inlineStr">
        <is>
          <t>HÄSSLEHOLM</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32001-2023</t>
        </is>
      </c>
      <c r="B1403" s="1" t="n">
        <v>45119</v>
      </c>
      <c r="C1403" s="1" t="n">
        <v>45962</v>
      </c>
      <c r="D1403" t="inlineStr">
        <is>
          <t>SKÅNE LÄN</t>
        </is>
      </c>
      <c r="E1403" t="inlineStr">
        <is>
          <t>OSBY</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66045-2020</t>
        </is>
      </c>
      <c r="B1404" s="1" t="n">
        <v>44175</v>
      </c>
      <c r="C1404" s="1" t="n">
        <v>45962</v>
      </c>
      <c r="D1404" t="inlineStr">
        <is>
          <t>SKÅNE LÄN</t>
        </is>
      </c>
      <c r="E1404" t="inlineStr">
        <is>
          <t>TOMELILLA</t>
        </is>
      </c>
      <c r="F1404" t="inlineStr">
        <is>
          <t>Kyrkan</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46246-2023</t>
        </is>
      </c>
      <c r="B1405" s="1" t="n">
        <v>45196.85282407407</v>
      </c>
      <c r="C1405" s="1" t="n">
        <v>45962</v>
      </c>
      <c r="D1405" t="inlineStr">
        <is>
          <t>SKÅNE LÄN</t>
        </is>
      </c>
      <c r="E1405" t="inlineStr">
        <is>
          <t>OSBY</t>
        </is>
      </c>
      <c r="G1405" t="n">
        <v>2.3</v>
      </c>
      <c r="H1405" t="n">
        <v>0</v>
      </c>
      <c r="I1405" t="n">
        <v>0</v>
      </c>
      <c r="J1405" t="n">
        <v>0</v>
      </c>
      <c r="K1405" t="n">
        <v>0</v>
      </c>
      <c r="L1405" t="n">
        <v>0</v>
      </c>
      <c r="M1405" t="n">
        <v>0</v>
      </c>
      <c r="N1405" t="n">
        <v>0</v>
      </c>
      <c r="O1405" t="n">
        <v>0</v>
      </c>
      <c r="P1405" t="n">
        <v>0</v>
      </c>
      <c r="Q1405" t="n">
        <v>0</v>
      </c>
      <c r="R1405" s="2" t="inlineStr"/>
    </row>
    <row r="1406" ht="15" customHeight="1">
      <c r="A1406" t="inlineStr">
        <is>
          <t>A 29436-2024</t>
        </is>
      </c>
      <c r="B1406" s="1" t="n">
        <v>45483.78387731482</v>
      </c>
      <c r="C1406" s="1" t="n">
        <v>45962</v>
      </c>
      <c r="D1406" t="inlineStr">
        <is>
          <t>SKÅNE LÄN</t>
        </is>
      </c>
      <c r="E1406" t="inlineStr">
        <is>
          <t>ÄNGELHOLM</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22535-2024</t>
        </is>
      </c>
      <c r="B1407" s="1" t="n">
        <v>45447</v>
      </c>
      <c r="C1407" s="1" t="n">
        <v>45962</v>
      </c>
      <c r="D1407" t="inlineStr">
        <is>
          <t>SKÅNE LÄN</t>
        </is>
      </c>
      <c r="E1407" t="inlineStr">
        <is>
          <t>HÄSSLEHOLM</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23233-2024</t>
        </is>
      </c>
      <c r="B1408" s="1" t="n">
        <v>45453</v>
      </c>
      <c r="C1408" s="1" t="n">
        <v>45962</v>
      </c>
      <c r="D1408" t="inlineStr">
        <is>
          <t>SKÅNE LÄN</t>
        </is>
      </c>
      <c r="E1408" t="inlineStr">
        <is>
          <t>OSBY</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57222-2022</t>
        </is>
      </c>
      <c r="B1409" s="1" t="n">
        <v>44895.66276620371</v>
      </c>
      <c r="C1409" s="1" t="n">
        <v>45962</v>
      </c>
      <c r="D1409" t="inlineStr">
        <is>
          <t>SKÅNE LÄN</t>
        </is>
      </c>
      <c r="E1409" t="inlineStr">
        <is>
          <t>OSBY</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30645-2022</t>
        </is>
      </c>
      <c r="B1410" s="1" t="n">
        <v>44763</v>
      </c>
      <c r="C1410" s="1" t="n">
        <v>45962</v>
      </c>
      <c r="D1410" t="inlineStr">
        <is>
          <t>SKÅNE LÄN</t>
        </is>
      </c>
      <c r="E1410" t="inlineStr">
        <is>
          <t>HÖÖR</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5478-2021</t>
        </is>
      </c>
      <c r="B1411" s="1" t="n">
        <v>44230</v>
      </c>
      <c r="C1411" s="1" t="n">
        <v>45962</v>
      </c>
      <c r="D1411" t="inlineStr">
        <is>
          <t>SKÅNE LÄN</t>
        </is>
      </c>
      <c r="E1411" t="inlineStr">
        <is>
          <t>HÄSSLEHOLM</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30925-2022</t>
        </is>
      </c>
      <c r="B1412" s="1" t="n">
        <v>44767</v>
      </c>
      <c r="C1412" s="1" t="n">
        <v>45962</v>
      </c>
      <c r="D1412" t="inlineStr">
        <is>
          <t>SKÅNE LÄN</t>
        </is>
      </c>
      <c r="E1412" t="inlineStr">
        <is>
          <t>KRISTIANSTAD</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60474-2022</t>
        </is>
      </c>
      <c r="B1413" s="1" t="n">
        <v>44904</v>
      </c>
      <c r="C1413" s="1" t="n">
        <v>45962</v>
      </c>
      <c r="D1413" t="inlineStr">
        <is>
          <t>SKÅNE LÄN</t>
        </is>
      </c>
      <c r="E1413" t="inlineStr">
        <is>
          <t>KRISTIANSTAD</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5163-2024</t>
        </is>
      </c>
      <c r="B1414" s="1" t="n">
        <v>45330</v>
      </c>
      <c r="C1414" s="1" t="n">
        <v>45962</v>
      </c>
      <c r="D1414" t="inlineStr">
        <is>
          <t>SKÅNE LÄN</t>
        </is>
      </c>
      <c r="E1414" t="inlineStr">
        <is>
          <t>HÖRBY</t>
        </is>
      </c>
      <c r="F1414" t="inlineStr">
        <is>
          <t>Kyrkan</t>
        </is>
      </c>
      <c r="G1414" t="n">
        <v>7.1</v>
      </c>
      <c r="H1414" t="n">
        <v>0</v>
      </c>
      <c r="I1414" t="n">
        <v>0</v>
      </c>
      <c r="J1414" t="n">
        <v>0</v>
      </c>
      <c r="K1414" t="n">
        <v>0</v>
      </c>
      <c r="L1414" t="n">
        <v>0</v>
      </c>
      <c r="M1414" t="n">
        <v>0</v>
      </c>
      <c r="N1414" t="n">
        <v>0</v>
      </c>
      <c r="O1414" t="n">
        <v>0</v>
      </c>
      <c r="P1414" t="n">
        <v>0</v>
      </c>
      <c r="Q1414" t="n">
        <v>0</v>
      </c>
      <c r="R1414" s="2" t="inlineStr"/>
    </row>
    <row r="1415" ht="15" customHeight="1">
      <c r="A1415" t="inlineStr">
        <is>
          <t>A 45611-2023</t>
        </is>
      </c>
      <c r="B1415" s="1" t="n">
        <v>45194</v>
      </c>
      <c r="C1415" s="1" t="n">
        <v>45962</v>
      </c>
      <c r="D1415" t="inlineStr">
        <is>
          <t>SKÅNE LÄN</t>
        </is>
      </c>
      <c r="E1415" t="inlineStr">
        <is>
          <t>KRISTIANSTAD</t>
        </is>
      </c>
      <c r="G1415" t="n">
        <v>5.5</v>
      </c>
      <c r="H1415" t="n">
        <v>0</v>
      </c>
      <c r="I1415" t="n">
        <v>0</v>
      </c>
      <c r="J1415" t="n">
        <v>0</v>
      </c>
      <c r="K1415" t="n">
        <v>0</v>
      </c>
      <c r="L1415" t="n">
        <v>0</v>
      </c>
      <c r="M1415" t="n">
        <v>0</v>
      </c>
      <c r="N1415" t="n">
        <v>0</v>
      </c>
      <c r="O1415" t="n">
        <v>0</v>
      </c>
      <c r="P1415" t="n">
        <v>0</v>
      </c>
      <c r="Q1415" t="n">
        <v>0</v>
      </c>
      <c r="R1415" s="2" t="inlineStr"/>
    </row>
    <row r="1416" ht="15" customHeight="1">
      <c r="A1416" t="inlineStr">
        <is>
          <t>A 3498-2024</t>
        </is>
      </c>
      <c r="B1416" s="1" t="n">
        <v>45320.47233796296</v>
      </c>
      <c r="C1416" s="1" t="n">
        <v>45962</v>
      </c>
      <c r="D1416" t="inlineStr">
        <is>
          <t>SKÅNE LÄN</t>
        </is>
      </c>
      <c r="E1416" t="inlineStr">
        <is>
          <t>KLIPPAN</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7059-2025</t>
        </is>
      </c>
      <c r="B1417" s="1" t="n">
        <v>45701.65484953704</v>
      </c>
      <c r="C1417" s="1" t="n">
        <v>45962</v>
      </c>
      <c r="D1417" t="inlineStr">
        <is>
          <t>SKÅNE LÄN</t>
        </is>
      </c>
      <c r="E1417" t="inlineStr">
        <is>
          <t>SJÖBO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7150-2025</t>
        </is>
      </c>
      <c r="B1418" s="1" t="n">
        <v>45702.38239583333</v>
      </c>
      <c r="C1418" s="1" t="n">
        <v>45962</v>
      </c>
      <c r="D1418" t="inlineStr">
        <is>
          <t>SKÅNE LÄN</t>
        </is>
      </c>
      <c r="E1418" t="inlineStr">
        <is>
          <t>HÄSSLEHOLM</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58518-2024</t>
        </is>
      </c>
      <c r="B1419" s="1" t="n">
        <v>45635.43335648148</v>
      </c>
      <c r="C1419" s="1" t="n">
        <v>45962</v>
      </c>
      <c r="D1419" t="inlineStr">
        <is>
          <t>SKÅNE LÄN</t>
        </is>
      </c>
      <c r="E1419" t="inlineStr">
        <is>
          <t>ÖSTRA GÖINGE</t>
        </is>
      </c>
      <c r="G1419" t="n">
        <v>4.7</v>
      </c>
      <c r="H1419" t="n">
        <v>0</v>
      </c>
      <c r="I1419" t="n">
        <v>0</v>
      </c>
      <c r="J1419" t="n">
        <v>0</v>
      </c>
      <c r="K1419" t="n">
        <v>0</v>
      </c>
      <c r="L1419" t="n">
        <v>0</v>
      </c>
      <c r="M1419" t="n">
        <v>0</v>
      </c>
      <c r="N1419" t="n">
        <v>0</v>
      </c>
      <c r="O1419" t="n">
        <v>0</v>
      </c>
      <c r="P1419" t="n">
        <v>0</v>
      </c>
      <c r="Q1419" t="n">
        <v>0</v>
      </c>
      <c r="R1419" s="2" t="inlineStr"/>
    </row>
    <row r="1420" ht="15" customHeight="1">
      <c r="A1420" t="inlineStr">
        <is>
          <t>A 11048-2025</t>
        </is>
      </c>
      <c r="B1420" s="1" t="n">
        <v>45723.49292824074</v>
      </c>
      <c r="C1420" s="1" t="n">
        <v>45962</v>
      </c>
      <c r="D1420" t="inlineStr">
        <is>
          <t>SKÅNE LÄN</t>
        </is>
      </c>
      <c r="E1420" t="inlineStr">
        <is>
          <t>OSBY</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41294-2022</t>
        </is>
      </c>
      <c r="B1421" s="1" t="n">
        <v>44825</v>
      </c>
      <c r="C1421" s="1" t="n">
        <v>45962</v>
      </c>
      <c r="D1421" t="inlineStr">
        <is>
          <t>SKÅNE LÄN</t>
        </is>
      </c>
      <c r="E1421" t="inlineStr">
        <is>
          <t>KLIPPAN</t>
        </is>
      </c>
      <c r="G1421" t="n">
        <v>6.1</v>
      </c>
      <c r="H1421" t="n">
        <v>0</v>
      </c>
      <c r="I1421" t="n">
        <v>0</v>
      </c>
      <c r="J1421" t="n">
        <v>0</v>
      </c>
      <c r="K1421" t="n">
        <v>0</v>
      </c>
      <c r="L1421" t="n">
        <v>0</v>
      </c>
      <c r="M1421" t="n">
        <v>0</v>
      </c>
      <c r="N1421" t="n">
        <v>0</v>
      </c>
      <c r="O1421" t="n">
        <v>0</v>
      </c>
      <c r="P1421" t="n">
        <v>0</v>
      </c>
      <c r="Q1421" t="n">
        <v>0</v>
      </c>
      <c r="R1421" s="2" t="inlineStr"/>
    </row>
    <row r="1422" ht="15" customHeight="1">
      <c r="A1422" t="inlineStr">
        <is>
          <t>A 50897-2024</t>
        </is>
      </c>
      <c r="B1422" s="1" t="n">
        <v>45602.68267361111</v>
      </c>
      <c r="C1422" s="1" t="n">
        <v>45962</v>
      </c>
      <c r="D1422" t="inlineStr">
        <is>
          <t>SKÅNE LÄN</t>
        </is>
      </c>
      <c r="E1422" t="inlineStr">
        <is>
          <t>ÖSTRA GÖINGE</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50899-2024</t>
        </is>
      </c>
      <c r="B1423" s="1" t="n">
        <v>45602.68584490741</v>
      </c>
      <c r="C1423" s="1" t="n">
        <v>45962</v>
      </c>
      <c r="D1423" t="inlineStr">
        <is>
          <t>SKÅNE LÄN</t>
        </is>
      </c>
      <c r="E1423" t="inlineStr">
        <is>
          <t>HÄSSLEHOLM</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44339-2023</t>
        </is>
      </c>
      <c r="B1424" s="1" t="n">
        <v>45188.676875</v>
      </c>
      <c r="C1424" s="1" t="n">
        <v>45962</v>
      </c>
      <c r="D1424" t="inlineStr">
        <is>
          <t>SKÅNE LÄN</t>
        </is>
      </c>
      <c r="E1424" t="inlineStr">
        <is>
          <t>KRISTIANSTAD</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34649-2023</t>
        </is>
      </c>
      <c r="B1425" s="1" t="n">
        <v>45139</v>
      </c>
      <c r="C1425" s="1" t="n">
        <v>45962</v>
      </c>
      <c r="D1425" t="inlineStr">
        <is>
          <t>SKÅNE LÄN</t>
        </is>
      </c>
      <c r="E1425" t="inlineStr">
        <is>
          <t>ÖSTRA GÖINGE</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4481-2024</t>
        </is>
      </c>
      <c r="B1426" s="1" t="n">
        <v>45327</v>
      </c>
      <c r="C1426" s="1" t="n">
        <v>45962</v>
      </c>
      <c r="D1426" t="inlineStr">
        <is>
          <t>SKÅNE LÄN</t>
        </is>
      </c>
      <c r="E1426" t="inlineStr">
        <is>
          <t>BÅSTAD</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15060-2023</t>
        </is>
      </c>
      <c r="B1427" s="1" t="n">
        <v>45015.69832175926</v>
      </c>
      <c r="C1427" s="1" t="n">
        <v>45962</v>
      </c>
      <c r="D1427" t="inlineStr">
        <is>
          <t>SKÅNE LÄN</t>
        </is>
      </c>
      <c r="E1427" t="inlineStr">
        <is>
          <t>HÄSSLEHOLM</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48181-2024</t>
        </is>
      </c>
      <c r="B1428" s="1" t="n">
        <v>45589</v>
      </c>
      <c r="C1428" s="1" t="n">
        <v>45962</v>
      </c>
      <c r="D1428" t="inlineStr">
        <is>
          <t>SKÅNE LÄN</t>
        </is>
      </c>
      <c r="E1428" t="inlineStr">
        <is>
          <t>BÅSTAD</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4787-2023</t>
        </is>
      </c>
      <c r="B1429" s="1" t="n">
        <v>44957.60079861111</v>
      </c>
      <c r="C1429" s="1" t="n">
        <v>45962</v>
      </c>
      <c r="D1429" t="inlineStr">
        <is>
          <t>SKÅNE LÄN</t>
        </is>
      </c>
      <c r="E1429" t="inlineStr">
        <is>
          <t>HÄSSLEHOLM</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4788-2023</t>
        </is>
      </c>
      <c r="B1430" s="1" t="n">
        <v>44957.60130787037</v>
      </c>
      <c r="C1430" s="1" t="n">
        <v>45962</v>
      </c>
      <c r="D1430" t="inlineStr">
        <is>
          <t>SKÅNE LÄN</t>
        </is>
      </c>
      <c r="E1430" t="inlineStr">
        <is>
          <t>HÄSSLEHOLM</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20012-2022</t>
        </is>
      </c>
      <c r="B1431" s="1" t="n">
        <v>44697</v>
      </c>
      <c r="C1431" s="1" t="n">
        <v>45962</v>
      </c>
      <c r="D1431" t="inlineStr">
        <is>
          <t>SKÅNE LÄN</t>
        </is>
      </c>
      <c r="E1431" t="inlineStr">
        <is>
          <t>KLIPPAN</t>
        </is>
      </c>
      <c r="G1431" t="n">
        <v>17.2</v>
      </c>
      <c r="H1431" t="n">
        <v>0</v>
      </c>
      <c r="I1431" t="n">
        <v>0</v>
      </c>
      <c r="J1431" t="n">
        <v>0</v>
      </c>
      <c r="K1431" t="n">
        <v>0</v>
      </c>
      <c r="L1431" t="n">
        <v>0</v>
      </c>
      <c r="M1431" t="n">
        <v>0</v>
      </c>
      <c r="N1431" t="n">
        <v>0</v>
      </c>
      <c r="O1431" t="n">
        <v>0</v>
      </c>
      <c r="P1431" t="n">
        <v>0</v>
      </c>
      <c r="Q1431" t="n">
        <v>0</v>
      </c>
      <c r="R1431" s="2" t="inlineStr"/>
    </row>
    <row r="1432" ht="15" customHeight="1">
      <c r="A1432" t="inlineStr">
        <is>
          <t>A 34348-2022</t>
        </is>
      </c>
      <c r="B1432" s="1" t="n">
        <v>44792</v>
      </c>
      <c r="C1432" s="1" t="n">
        <v>45962</v>
      </c>
      <c r="D1432" t="inlineStr">
        <is>
          <t>SKÅNE LÄN</t>
        </is>
      </c>
      <c r="E1432" t="inlineStr">
        <is>
          <t>HÄSSLEHOLM</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30040-2024</t>
        </is>
      </c>
      <c r="B1433" s="1" t="n">
        <v>45488</v>
      </c>
      <c r="C1433" s="1" t="n">
        <v>45962</v>
      </c>
      <c r="D1433" t="inlineStr">
        <is>
          <t>SKÅNE LÄN</t>
        </is>
      </c>
      <c r="E1433" t="inlineStr">
        <is>
          <t>TOMELILLA</t>
        </is>
      </c>
      <c r="G1433" t="n">
        <v>4.3</v>
      </c>
      <c r="H1433" t="n">
        <v>0</v>
      </c>
      <c r="I1433" t="n">
        <v>0</v>
      </c>
      <c r="J1433" t="n">
        <v>0</v>
      </c>
      <c r="K1433" t="n">
        <v>0</v>
      </c>
      <c r="L1433" t="n">
        <v>0</v>
      </c>
      <c r="M1433" t="n">
        <v>0</v>
      </c>
      <c r="N1433" t="n">
        <v>0</v>
      </c>
      <c r="O1433" t="n">
        <v>0</v>
      </c>
      <c r="P1433" t="n">
        <v>0</v>
      </c>
      <c r="Q1433" t="n">
        <v>0</v>
      </c>
      <c r="R1433" s="2" t="inlineStr"/>
    </row>
    <row r="1434" ht="15" customHeight="1">
      <c r="A1434" t="inlineStr">
        <is>
          <t>A 40584-2022</t>
        </is>
      </c>
      <c r="B1434" s="1" t="n">
        <v>44823.72759259259</v>
      </c>
      <c r="C1434" s="1" t="n">
        <v>45962</v>
      </c>
      <c r="D1434" t="inlineStr">
        <is>
          <t>SKÅNE LÄN</t>
        </is>
      </c>
      <c r="E1434" t="inlineStr">
        <is>
          <t>OSBY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45399-2022</t>
        </is>
      </c>
      <c r="B1435" s="1" t="n">
        <v>44844.70513888889</v>
      </c>
      <c r="C1435" s="1" t="n">
        <v>45962</v>
      </c>
      <c r="D1435" t="inlineStr">
        <is>
          <t>SKÅNE LÄN</t>
        </is>
      </c>
      <c r="E1435" t="inlineStr">
        <is>
          <t>HÄSSLEHOLM</t>
        </is>
      </c>
      <c r="G1435" t="n">
        <v>0</v>
      </c>
      <c r="H1435" t="n">
        <v>0</v>
      </c>
      <c r="I1435" t="n">
        <v>0</v>
      </c>
      <c r="J1435" t="n">
        <v>0</v>
      </c>
      <c r="K1435" t="n">
        <v>0</v>
      </c>
      <c r="L1435" t="n">
        <v>0</v>
      </c>
      <c r="M1435" t="n">
        <v>0</v>
      </c>
      <c r="N1435" t="n">
        <v>0</v>
      </c>
      <c r="O1435" t="n">
        <v>0</v>
      </c>
      <c r="P1435" t="n">
        <v>0</v>
      </c>
      <c r="Q1435" t="n">
        <v>0</v>
      </c>
      <c r="R1435" s="2" t="inlineStr"/>
    </row>
    <row r="1436" ht="15" customHeight="1">
      <c r="A1436" t="inlineStr">
        <is>
          <t>A 35640-2023</t>
        </is>
      </c>
      <c r="B1436" s="1" t="n">
        <v>45147</v>
      </c>
      <c r="C1436" s="1" t="n">
        <v>45962</v>
      </c>
      <c r="D1436" t="inlineStr">
        <is>
          <t>SKÅNE LÄN</t>
        </is>
      </c>
      <c r="E1436" t="inlineStr">
        <is>
          <t>HÄSSLEHOLM</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57839-2024</t>
        </is>
      </c>
      <c r="B1437" s="1" t="n">
        <v>45630</v>
      </c>
      <c r="C1437" s="1" t="n">
        <v>45962</v>
      </c>
      <c r="D1437" t="inlineStr">
        <is>
          <t>SKÅNE LÄN</t>
        </is>
      </c>
      <c r="E1437" t="inlineStr">
        <is>
          <t>OSBY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20185-2023</t>
        </is>
      </c>
      <c r="B1438" s="1" t="n">
        <v>45055.56795138889</v>
      </c>
      <c r="C1438" s="1" t="n">
        <v>45962</v>
      </c>
      <c r="D1438" t="inlineStr">
        <is>
          <t>SKÅNE LÄN</t>
        </is>
      </c>
      <c r="E1438" t="inlineStr">
        <is>
          <t>HÄSSLEHOLM</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46504-2022</t>
        </is>
      </c>
      <c r="B1439" s="1" t="n">
        <v>44847</v>
      </c>
      <c r="C1439" s="1" t="n">
        <v>45962</v>
      </c>
      <c r="D1439" t="inlineStr">
        <is>
          <t>SKÅNE LÄN</t>
        </is>
      </c>
      <c r="E1439" t="inlineStr">
        <is>
          <t>KRISTIANSTAD</t>
        </is>
      </c>
      <c r="G1439" t="n">
        <v>5.6</v>
      </c>
      <c r="H1439" t="n">
        <v>0</v>
      </c>
      <c r="I1439" t="n">
        <v>0</v>
      </c>
      <c r="J1439" t="n">
        <v>0</v>
      </c>
      <c r="K1439" t="n">
        <v>0</v>
      </c>
      <c r="L1439" t="n">
        <v>0</v>
      </c>
      <c r="M1439" t="n">
        <v>0</v>
      </c>
      <c r="N1439" t="n">
        <v>0</v>
      </c>
      <c r="O1439" t="n">
        <v>0</v>
      </c>
      <c r="P1439" t="n">
        <v>0</v>
      </c>
      <c r="Q1439" t="n">
        <v>0</v>
      </c>
      <c r="R1439" s="2" t="inlineStr"/>
    </row>
    <row r="1440" ht="15" customHeight="1">
      <c r="A1440" t="inlineStr">
        <is>
          <t>A 13198-2025</t>
        </is>
      </c>
      <c r="B1440" s="1" t="n">
        <v>45735</v>
      </c>
      <c r="C1440" s="1" t="n">
        <v>45962</v>
      </c>
      <c r="D1440" t="inlineStr">
        <is>
          <t>SKÅNE LÄN</t>
        </is>
      </c>
      <c r="E1440" t="inlineStr">
        <is>
          <t>HÄSSLEHOLM</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43478-2023</t>
        </is>
      </c>
      <c r="B1441" s="1" t="n">
        <v>45184</v>
      </c>
      <c r="C1441" s="1" t="n">
        <v>45962</v>
      </c>
      <c r="D1441" t="inlineStr">
        <is>
          <t>SKÅNE LÄN</t>
        </is>
      </c>
      <c r="E1441" t="inlineStr">
        <is>
          <t>ÖSTRA GÖINGE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39097-2024</t>
        </is>
      </c>
      <c r="B1442" s="1" t="n">
        <v>45548.56422453704</v>
      </c>
      <c r="C1442" s="1" t="n">
        <v>45962</v>
      </c>
      <c r="D1442" t="inlineStr">
        <is>
          <t>SKÅNE LÄN</t>
        </is>
      </c>
      <c r="E1442" t="inlineStr">
        <is>
          <t>KLIPPAN</t>
        </is>
      </c>
      <c r="G1442" t="n">
        <v>4.2</v>
      </c>
      <c r="H1442" t="n">
        <v>0</v>
      </c>
      <c r="I1442" t="n">
        <v>0</v>
      </c>
      <c r="J1442" t="n">
        <v>0</v>
      </c>
      <c r="K1442" t="n">
        <v>0</v>
      </c>
      <c r="L1442" t="n">
        <v>0</v>
      </c>
      <c r="M1442" t="n">
        <v>0</v>
      </c>
      <c r="N1442" t="n">
        <v>0</v>
      </c>
      <c r="O1442" t="n">
        <v>0</v>
      </c>
      <c r="P1442" t="n">
        <v>0</v>
      </c>
      <c r="Q1442" t="n">
        <v>0</v>
      </c>
      <c r="R1442" s="2" t="inlineStr"/>
    </row>
    <row r="1443" ht="15" customHeight="1">
      <c r="A1443" t="inlineStr">
        <is>
          <t>A 8712-2023</t>
        </is>
      </c>
      <c r="B1443" s="1" t="n">
        <v>44978.3975462963</v>
      </c>
      <c r="C1443" s="1" t="n">
        <v>45962</v>
      </c>
      <c r="D1443" t="inlineStr">
        <is>
          <t>SKÅNE LÄN</t>
        </is>
      </c>
      <c r="E1443" t="inlineStr">
        <is>
          <t>KLIPPAN</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73830-2021</t>
        </is>
      </c>
      <c r="B1444" s="1" t="n">
        <v>44552.84040509259</v>
      </c>
      <c r="C1444" s="1" t="n">
        <v>45962</v>
      </c>
      <c r="D1444" t="inlineStr">
        <is>
          <t>SKÅNE LÄN</t>
        </is>
      </c>
      <c r="E1444" t="inlineStr">
        <is>
          <t>ÖRKELLJUNGA</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2681-2024</t>
        </is>
      </c>
      <c r="B1445" s="1" t="n">
        <v>45314</v>
      </c>
      <c r="C1445" s="1" t="n">
        <v>45962</v>
      </c>
      <c r="D1445" t="inlineStr">
        <is>
          <t>SKÅNE LÄN</t>
        </is>
      </c>
      <c r="E1445" t="inlineStr">
        <is>
          <t>HÄSSLEHOLM</t>
        </is>
      </c>
      <c r="F1445" t="inlineStr">
        <is>
          <t>Övriga Aktiebolag</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43931-2022</t>
        </is>
      </c>
      <c r="B1446" s="1" t="n">
        <v>44838</v>
      </c>
      <c r="C1446" s="1" t="n">
        <v>45962</v>
      </c>
      <c r="D1446" t="inlineStr">
        <is>
          <t>SKÅNE LÄN</t>
        </is>
      </c>
      <c r="E1446" t="inlineStr">
        <is>
          <t>OSBY</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60878-2024</t>
        </is>
      </c>
      <c r="B1447" s="1" t="n">
        <v>45644.81020833334</v>
      </c>
      <c r="C1447" s="1" t="n">
        <v>45962</v>
      </c>
      <c r="D1447" t="inlineStr">
        <is>
          <t>SKÅNE LÄN</t>
        </is>
      </c>
      <c r="E1447" t="inlineStr">
        <is>
          <t>KRISTIANSTAD</t>
        </is>
      </c>
      <c r="F1447" t="inlineStr">
        <is>
          <t>Övriga Aktiebolag</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15152-2023</t>
        </is>
      </c>
      <c r="B1448" s="1" t="n">
        <v>45015</v>
      </c>
      <c r="C1448" s="1" t="n">
        <v>45962</v>
      </c>
      <c r="D1448" t="inlineStr">
        <is>
          <t>SKÅNE LÄN</t>
        </is>
      </c>
      <c r="E1448" t="inlineStr">
        <is>
          <t>OSBY</t>
        </is>
      </c>
      <c r="F1448" t="inlineStr">
        <is>
          <t>Naturvårdsverket</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8382-2022</t>
        </is>
      </c>
      <c r="B1449" s="1" t="n">
        <v>44610</v>
      </c>
      <c r="C1449" s="1" t="n">
        <v>45962</v>
      </c>
      <c r="D1449" t="inlineStr">
        <is>
          <t>SKÅNE LÄN</t>
        </is>
      </c>
      <c r="E1449" t="inlineStr">
        <is>
          <t>OSBY</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27497-2024</t>
        </is>
      </c>
      <c r="B1450" s="1" t="n">
        <v>45474</v>
      </c>
      <c r="C1450" s="1" t="n">
        <v>45962</v>
      </c>
      <c r="D1450" t="inlineStr">
        <is>
          <t>SKÅNE LÄN</t>
        </is>
      </c>
      <c r="E1450" t="inlineStr">
        <is>
          <t>ÖRKELLJUNGA</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1064-2025</t>
        </is>
      </c>
      <c r="B1451" s="1" t="n">
        <v>45665</v>
      </c>
      <c r="C1451" s="1" t="n">
        <v>45962</v>
      </c>
      <c r="D1451" t="inlineStr">
        <is>
          <t>SKÅNE LÄN</t>
        </is>
      </c>
      <c r="E1451" t="inlineStr">
        <is>
          <t>KRISTIANSTAD</t>
        </is>
      </c>
      <c r="G1451" t="n">
        <v>4.8</v>
      </c>
      <c r="H1451" t="n">
        <v>0</v>
      </c>
      <c r="I1451" t="n">
        <v>0</v>
      </c>
      <c r="J1451" t="n">
        <v>0</v>
      </c>
      <c r="K1451" t="n">
        <v>0</v>
      </c>
      <c r="L1451" t="n">
        <v>0</v>
      </c>
      <c r="M1451" t="n">
        <v>0</v>
      </c>
      <c r="N1451" t="n">
        <v>0</v>
      </c>
      <c r="O1451" t="n">
        <v>0</v>
      </c>
      <c r="P1451" t="n">
        <v>0</v>
      </c>
      <c r="Q1451" t="n">
        <v>0</v>
      </c>
      <c r="R1451" s="2" t="inlineStr"/>
    </row>
    <row r="1452" ht="15" customHeight="1">
      <c r="A1452" t="inlineStr">
        <is>
          <t>A 38846-2024</t>
        </is>
      </c>
      <c r="B1452" s="1" t="n">
        <v>45547.60444444444</v>
      </c>
      <c r="C1452" s="1" t="n">
        <v>45962</v>
      </c>
      <c r="D1452" t="inlineStr">
        <is>
          <t>SKÅNE LÄN</t>
        </is>
      </c>
      <c r="E1452" t="inlineStr">
        <is>
          <t>SIMRISHAMN</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16418-2025</t>
        </is>
      </c>
      <c r="B1453" s="1" t="n">
        <v>45751.46372685185</v>
      </c>
      <c r="C1453" s="1" t="n">
        <v>45962</v>
      </c>
      <c r="D1453" t="inlineStr">
        <is>
          <t>SKÅNE LÄN</t>
        </is>
      </c>
      <c r="E1453" t="inlineStr">
        <is>
          <t>KLIPPAN</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47222-2022</t>
        </is>
      </c>
      <c r="B1454" s="1" t="n">
        <v>44852</v>
      </c>
      <c r="C1454" s="1" t="n">
        <v>45962</v>
      </c>
      <c r="D1454" t="inlineStr">
        <is>
          <t>SKÅNE LÄN</t>
        </is>
      </c>
      <c r="E1454" t="inlineStr">
        <is>
          <t>HÖÖR</t>
        </is>
      </c>
      <c r="G1454" t="n">
        <v>12.3</v>
      </c>
      <c r="H1454" t="n">
        <v>0</v>
      </c>
      <c r="I1454" t="n">
        <v>0</v>
      </c>
      <c r="J1454" t="n">
        <v>0</v>
      </c>
      <c r="K1454" t="n">
        <v>0</v>
      </c>
      <c r="L1454" t="n">
        <v>0</v>
      </c>
      <c r="M1454" t="n">
        <v>0</v>
      </c>
      <c r="N1454" t="n">
        <v>0</v>
      </c>
      <c r="O1454" t="n">
        <v>0</v>
      </c>
      <c r="P1454" t="n">
        <v>0</v>
      </c>
      <c r="Q1454" t="n">
        <v>0</v>
      </c>
      <c r="R1454" s="2" t="inlineStr"/>
    </row>
    <row r="1455" ht="15" customHeight="1">
      <c r="A1455" t="inlineStr">
        <is>
          <t>A 27177-2024</t>
        </is>
      </c>
      <c r="B1455" s="1" t="n">
        <v>45471.57201388889</v>
      </c>
      <c r="C1455" s="1" t="n">
        <v>45962</v>
      </c>
      <c r="D1455" t="inlineStr">
        <is>
          <t>SKÅNE LÄN</t>
        </is>
      </c>
      <c r="E1455" t="inlineStr">
        <is>
          <t>HÄSSLEHOLM</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69093-2021</t>
        </is>
      </c>
      <c r="B1456" s="1" t="n">
        <v>44530.68075231482</v>
      </c>
      <c r="C1456" s="1" t="n">
        <v>45962</v>
      </c>
      <c r="D1456" t="inlineStr">
        <is>
          <t>SKÅNE LÄN</t>
        </is>
      </c>
      <c r="E1456" t="inlineStr">
        <is>
          <t>OSBY</t>
        </is>
      </c>
      <c r="F1456" t="inlineStr">
        <is>
          <t>Kommuner</t>
        </is>
      </c>
      <c r="G1456" t="n">
        <v>2.7</v>
      </c>
      <c r="H1456" t="n">
        <v>0</v>
      </c>
      <c r="I1456" t="n">
        <v>0</v>
      </c>
      <c r="J1456" t="n">
        <v>0</v>
      </c>
      <c r="K1456" t="n">
        <v>0</v>
      </c>
      <c r="L1456" t="n">
        <v>0</v>
      </c>
      <c r="M1456" t="n">
        <v>0</v>
      </c>
      <c r="N1456" t="n">
        <v>0</v>
      </c>
      <c r="O1456" t="n">
        <v>0</v>
      </c>
      <c r="P1456" t="n">
        <v>0</v>
      </c>
      <c r="Q1456" t="n">
        <v>0</v>
      </c>
      <c r="R1456" s="2" t="inlineStr"/>
    </row>
    <row r="1457" ht="15" customHeight="1">
      <c r="A1457" t="inlineStr">
        <is>
          <t>A 23739-2023</t>
        </is>
      </c>
      <c r="B1457" s="1" t="n">
        <v>45077.7675</v>
      </c>
      <c r="C1457" s="1" t="n">
        <v>45962</v>
      </c>
      <c r="D1457" t="inlineStr">
        <is>
          <t>SKÅNE LÄN</t>
        </is>
      </c>
      <c r="E1457" t="inlineStr">
        <is>
          <t>ÖRKELLJUNGA</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5184-2024</t>
        </is>
      </c>
      <c r="B1458" s="1" t="n">
        <v>45330</v>
      </c>
      <c r="C1458" s="1" t="n">
        <v>45962</v>
      </c>
      <c r="D1458" t="inlineStr">
        <is>
          <t>SKÅNE LÄN</t>
        </is>
      </c>
      <c r="E1458" t="inlineStr">
        <is>
          <t>SVALÖV</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49219-2024</t>
        </is>
      </c>
      <c r="B1459" s="1" t="n">
        <v>45595.40923611111</v>
      </c>
      <c r="C1459" s="1" t="n">
        <v>45962</v>
      </c>
      <c r="D1459" t="inlineStr">
        <is>
          <t>SKÅNE LÄN</t>
        </is>
      </c>
      <c r="E1459" t="inlineStr">
        <is>
          <t>HÄSSLEHOLM</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61170-2022</t>
        </is>
      </c>
      <c r="B1460" s="1" t="n">
        <v>44915.48543981482</v>
      </c>
      <c r="C1460" s="1" t="n">
        <v>45962</v>
      </c>
      <c r="D1460" t="inlineStr">
        <is>
          <t>SKÅNE LÄN</t>
        </is>
      </c>
      <c r="E1460" t="inlineStr">
        <is>
          <t>HÄSSLEHOLM</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41322-2021</t>
        </is>
      </c>
      <c r="B1461" s="1" t="n">
        <v>44424</v>
      </c>
      <c r="C1461" s="1" t="n">
        <v>45962</v>
      </c>
      <c r="D1461" t="inlineStr">
        <is>
          <t>SKÅNE LÄN</t>
        </is>
      </c>
      <c r="E1461" t="inlineStr">
        <is>
          <t>OSBY</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50616-2023</t>
        </is>
      </c>
      <c r="B1462" s="1" t="n">
        <v>45210</v>
      </c>
      <c r="C1462" s="1" t="n">
        <v>45962</v>
      </c>
      <c r="D1462" t="inlineStr">
        <is>
          <t>SKÅNE LÄN</t>
        </is>
      </c>
      <c r="E1462" t="inlineStr">
        <is>
          <t>HÄSSLEHOLM</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48738-2023</t>
        </is>
      </c>
      <c r="B1463" s="1" t="n">
        <v>45208.81071759259</v>
      </c>
      <c r="C1463" s="1" t="n">
        <v>45962</v>
      </c>
      <c r="D1463" t="inlineStr">
        <is>
          <t>SKÅNE LÄN</t>
        </is>
      </c>
      <c r="E1463" t="inlineStr">
        <is>
          <t>BROMÖLLA</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45361-2023</t>
        </is>
      </c>
      <c r="B1464" s="1" t="n">
        <v>45192.49068287037</v>
      </c>
      <c r="C1464" s="1" t="n">
        <v>45962</v>
      </c>
      <c r="D1464" t="inlineStr">
        <is>
          <t>SKÅNE LÄN</t>
        </is>
      </c>
      <c r="E1464" t="inlineStr">
        <is>
          <t>HÄSSLEHOLM</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42016-2022</t>
        </is>
      </c>
      <c r="B1465" s="1" t="n">
        <v>44827</v>
      </c>
      <c r="C1465" s="1" t="n">
        <v>45962</v>
      </c>
      <c r="D1465" t="inlineStr">
        <is>
          <t>SKÅNE LÄN</t>
        </is>
      </c>
      <c r="E1465" t="inlineStr">
        <is>
          <t>SIMRISHAMN</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13646-2024</t>
        </is>
      </c>
      <c r="B1466" s="1" t="n">
        <v>45387</v>
      </c>
      <c r="C1466" s="1" t="n">
        <v>45962</v>
      </c>
      <c r="D1466" t="inlineStr">
        <is>
          <t>SKÅNE LÄN</t>
        </is>
      </c>
      <c r="E1466" t="inlineStr">
        <is>
          <t>HÄSSLEHOLM</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4750-2024</t>
        </is>
      </c>
      <c r="B1467" s="1" t="n">
        <v>45328</v>
      </c>
      <c r="C1467" s="1" t="n">
        <v>45962</v>
      </c>
      <c r="D1467" t="inlineStr">
        <is>
          <t>SKÅNE LÄN</t>
        </is>
      </c>
      <c r="E1467" t="inlineStr">
        <is>
          <t>HÄSSLEHOLM</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60837-2020</t>
        </is>
      </c>
      <c r="B1468" s="1" t="n">
        <v>44154</v>
      </c>
      <c r="C1468" s="1" t="n">
        <v>45962</v>
      </c>
      <c r="D1468" t="inlineStr">
        <is>
          <t>SKÅNE LÄN</t>
        </is>
      </c>
      <c r="E1468" t="inlineStr">
        <is>
          <t>ÖSTRA GÖINGE</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39117-2023</t>
        </is>
      </c>
      <c r="B1469" s="1" t="n">
        <v>45165.41042824074</v>
      </c>
      <c r="C1469" s="1" t="n">
        <v>45962</v>
      </c>
      <c r="D1469" t="inlineStr">
        <is>
          <t>SKÅNE LÄN</t>
        </is>
      </c>
      <c r="E1469" t="inlineStr">
        <is>
          <t>KRISTIANSTAD</t>
        </is>
      </c>
      <c r="F1469" t="inlineStr">
        <is>
          <t>Sveaskog</t>
        </is>
      </c>
      <c r="G1469" t="n">
        <v>0.2</v>
      </c>
      <c r="H1469" t="n">
        <v>0</v>
      </c>
      <c r="I1469" t="n">
        <v>0</v>
      </c>
      <c r="J1469" t="n">
        <v>0</v>
      </c>
      <c r="K1469" t="n">
        <v>0</v>
      </c>
      <c r="L1469" t="n">
        <v>0</v>
      </c>
      <c r="M1469" t="n">
        <v>0</v>
      </c>
      <c r="N1469" t="n">
        <v>0</v>
      </c>
      <c r="O1469" t="n">
        <v>0</v>
      </c>
      <c r="P1469" t="n">
        <v>0</v>
      </c>
      <c r="Q1469" t="n">
        <v>0</v>
      </c>
      <c r="R1469" s="2" t="inlineStr"/>
    </row>
    <row r="1470" ht="15" customHeight="1">
      <c r="A1470" t="inlineStr">
        <is>
          <t>A 12139-2022</t>
        </is>
      </c>
      <c r="B1470" s="1" t="n">
        <v>44636.62268518518</v>
      </c>
      <c r="C1470" s="1" t="n">
        <v>45962</v>
      </c>
      <c r="D1470" t="inlineStr">
        <is>
          <t>SKÅNE LÄN</t>
        </is>
      </c>
      <c r="E1470" t="inlineStr">
        <is>
          <t>ÖRKELLJUNGA</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29433-2024</t>
        </is>
      </c>
      <c r="B1471" s="1" t="n">
        <v>45483.7616087963</v>
      </c>
      <c r="C1471" s="1" t="n">
        <v>45962</v>
      </c>
      <c r="D1471" t="inlineStr">
        <is>
          <t>SKÅNE LÄN</t>
        </is>
      </c>
      <c r="E1471" t="inlineStr">
        <is>
          <t>OSBY</t>
        </is>
      </c>
      <c r="F1471" t="inlineStr">
        <is>
          <t>Kommuner</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35911-2023</t>
        </is>
      </c>
      <c r="B1472" s="1" t="n">
        <v>45148.64078703704</v>
      </c>
      <c r="C1472" s="1" t="n">
        <v>45962</v>
      </c>
      <c r="D1472" t="inlineStr">
        <is>
          <t>SKÅNE LÄN</t>
        </is>
      </c>
      <c r="E1472" t="inlineStr">
        <is>
          <t>SVALÖV</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58891-2022</t>
        </is>
      </c>
      <c r="B1473" s="1" t="n">
        <v>44896</v>
      </c>
      <c r="C1473" s="1" t="n">
        <v>45962</v>
      </c>
      <c r="D1473" t="inlineStr">
        <is>
          <t>SKÅNE LÄN</t>
        </is>
      </c>
      <c r="E1473" t="inlineStr">
        <is>
          <t>HÄSSLEHOLM</t>
        </is>
      </c>
      <c r="F1473" t="inlineStr">
        <is>
          <t>Kyrkan</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6796-2024</t>
        </is>
      </c>
      <c r="B1474" s="1" t="n">
        <v>45342.56502314815</v>
      </c>
      <c r="C1474" s="1" t="n">
        <v>45962</v>
      </c>
      <c r="D1474" t="inlineStr">
        <is>
          <t>SKÅNE LÄN</t>
        </is>
      </c>
      <c r="E1474" t="inlineStr">
        <is>
          <t>ÖRKELLJUNGA</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4651-2024</t>
        </is>
      </c>
      <c r="B1475" s="1" t="n">
        <v>45328</v>
      </c>
      <c r="C1475" s="1" t="n">
        <v>45962</v>
      </c>
      <c r="D1475" t="inlineStr">
        <is>
          <t>SKÅNE LÄN</t>
        </is>
      </c>
      <c r="E1475" t="inlineStr">
        <is>
          <t>TOMELILLA</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46566-2023</t>
        </is>
      </c>
      <c r="B1476" s="1" t="n">
        <v>45198</v>
      </c>
      <c r="C1476" s="1" t="n">
        <v>45962</v>
      </c>
      <c r="D1476" t="inlineStr">
        <is>
          <t>SKÅNE LÄN</t>
        </is>
      </c>
      <c r="E1476" t="inlineStr">
        <is>
          <t>ÖSTRA GÖINGE</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9747-2024</t>
        </is>
      </c>
      <c r="B1477" s="1" t="n">
        <v>45362</v>
      </c>
      <c r="C1477" s="1" t="n">
        <v>45962</v>
      </c>
      <c r="D1477" t="inlineStr">
        <is>
          <t>SKÅNE LÄN</t>
        </is>
      </c>
      <c r="E1477" t="inlineStr">
        <is>
          <t>HÄSSLEHOLM</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9748-2024</t>
        </is>
      </c>
      <c r="B1478" s="1" t="n">
        <v>45362.60480324074</v>
      </c>
      <c r="C1478" s="1" t="n">
        <v>45962</v>
      </c>
      <c r="D1478" t="inlineStr">
        <is>
          <t>SKÅNE LÄN</t>
        </is>
      </c>
      <c r="E1478" t="inlineStr">
        <is>
          <t>ÖRKELLJUNGA</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48126-2024</t>
        </is>
      </c>
      <c r="B1479" s="1" t="n">
        <v>45589.6418287037</v>
      </c>
      <c r="C1479" s="1" t="n">
        <v>45962</v>
      </c>
      <c r="D1479" t="inlineStr">
        <is>
          <t>SKÅNE LÄN</t>
        </is>
      </c>
      <c r="E1479" t="inlineStr">
        <is>
          <t>OSBY</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40300-2024</t>
        </is>
      </c>
      <c r="B1480" s="1" t="n">
        <v>45554</v>
      </c>
      <c r="C1480" s="1" t="n">
        <v>45962</v>
      </c>
      <c r="D1480" t="inlineStr">
        <is>
          <t>SKÅNE LÄN</t>
        </is>
      </c>
      <c r="E1480" t="inlineStr">
        <is>
          <t>KRISTIANSTAD</t>
        </is>
      </c>
      <c r="G1480" t="n">
        <v>12.6</v>
      </c>
      <c r="H1480" t="n">
        <v>0</v>
      </c>
      <c r="I1480" t="n">
        <v>0</v>
      </c>
      <c r="J1480" t="n">
        <v>0</v>
      </c>
      <c r="K1480" t="n">
        <v>0</v>
      </c>
      <c r="L1480" t="n">
        <v>0</v>
      </c>
      <c r="M1480" t="n">
        <v>0</v>
      </c>
      <c r="N1480" t="n">
        <v>0</v>
      </c>
      <c r="O1480" t="n">
        <v>0</v>
      </c>
      <c r="P1480" t="n">
        <v>0</v>
      </c>
      <c r="Q1480" t="n">
        <v>0</v>
      </c>
      <c r="R1480" s="2" t="inlineStr"/>
    </row>
    <row r="1481" ht="15" customHeight="1">
      <c r="A1481" t="inlineStr">
        <is>
          <t>A 53875-2023</t>
        </is>
      </c>
      <c r="B1481" s="1" t="n">
        <v>45231</v>
      </c>
      <c r="C1481" s="1" t="n">
        <v>45962</v>
      </c>
      <c r="D1481" t="inlineStr">
        <is>
          <t>SKÅNE LÄN</t>
        </is>
      </c>
      <c r="E1481" t="inlineStr">
        <is>
          <t>PERSTORP</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50675-2023</t>
        </is>
      </c>
      <c r="B1482" s="1" t="n">
        <v>45217</v>
      </c>
      <c r="C1482" s="1" t="n">
        <v>45962</v>
      </c>
      <c r="D1482" t="inlineStr">
        <is>
          <t>SKÅNE LÄN</t>
        </is>
      </c>
      <c r="E1482" t="inlineStr">
        <is>
          <t>OSBY</t>
        </is>
      </c>
      <c r="F1482" t="inlineStr">
        <is>
          <t>Kommuner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44107-2023</t>
        </is>
      </c>
      <c r="B1483" s="1" t="n">
        <v>45188.43670138889</v>
      </c>
      <c r="C1483" s="1" t="n">
        <v>45962</v>
      </c>
      <c r="D1483" t="inlineStr">
        <is>
          <t>SKÅNE LÄN</t>
        </is>
      </c>
      <c r="E1483" t="inlineStr">
        <is>
          <t>SVALÖV</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20281-2025</t>
        </is>
      </c>
      <c r="B1484" s="1" t="n">
        <v>45774.44432870371</v>
      </c>
      <c r="C1484" s="1" t="n">
        <v>45962</v>
      </c>
      <c r="D1484" t="inlineStr">
        <is>
          <t>SKÅNE LÄN</t>
        </is>
      </c>
      <c r="E1484" t="inlineStr">
        <is>
          <t>ÖSTRA GÖINGE</t>
        </is>
      </c>
      <c r="G1484" t="n">
        <v>3.4</v>
      </c>
      <c r="H1484" t="n">
        <v>0</v>
      </c>
      <c r="I1484" t="n">
        <v>0</v>
      </c>
      <c r="J1484" t="n">
        <v>0</v>
      </c>
      <c r="K1484" t="n">
        <v>0</v>
      </c>
      <c r="L1484" t="n">
        <v>0</v>
      </c>
      <c r="M1484" t="n">
        <v>0</v>
      </c>
      <c r="N1484" t="n">
        <v>0</v>
      </c>
      <c r="O1484" t="n">
        <v>0</v>
      </c>
      <c r="P1484" t="n">
        <v>0</v>
      </c>
      <c r="Q1484" t="n">
        <v>0</v>
      </c>
      <c r="R1484" s="2" t="inlineStr"/>
    </row>
    <row r="1485" ht="15" customHeight="1">
      <c r="A1485" t="inlineStr">
        <is>
          <t>A 43629-2023</t>
        </is>
      </c>
      <c r="B1485" s="1" t="n">
        <v>45184</v>
      </c>
      <c r="C1485" s="1" t="n">
        <v>45962</v>
      </c>
      <c r="D1485" t="inlineStr">
        <is>
          <t>SKÅNE LÄN</t>
        </is>
      </c>
      <c r="E1485" t="inlineStr">
        <is>
          <t>HÄSSLEHOLM</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49073-2024</t>
        </is>
      </c>
      <c r="B1486" s="1" t="n">
        <v>45594.61548611111</v>
      </c>
      <c r="C1486" s="1" t="n">
        <v>45962</v>
      </c>
      <c r="D1486" t="inlineStr">
        <is>
          <t>SKÅNE LÄN</t>
        </is>
      </c>
      <c r="E1486" t="inlineStr">
        <is>
          <t>KLIPPAN</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49107-2023</t>
        </is>
      </c>
      <c r="B1487" s="1" t="n">
        <v>45210.44337962963</v>
      </c>
      <c r="C1487" s="1" t="n">
        <v>45962</v>
      </c>
      <c r="D1487" t="inlineStr">
        <is>
          <t>SKÅNE LÄN</t>
        </is>
      </c>
      <c r="E1487" t="inlineStr">
        <is>
          <t>HÄSSLEHOLM</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54282-2023</t>
        </is>
      </c>
      <c r="B1488" s="1" t="n">
        <v>45232.69699074074</v>
      </c>
      <c r="C1488" s="1" t="n">
        <v>45962</v>
      </c>
      <c r="D1488" t="inlineStr">
        <is>
          <t>SKÅNE LÄN</t>
        </is>
      </c>
      <c r="E1488" t="inlineStr">
        <is>
          <t>SVEDALA</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48966-2023</t>
        </is>
      </c>
      <c r="B1489" s="1" t="n">
        <v>45209.60576388889</v>
      </c>
      <c r="C1489" s="1" t="n">
        <v>45962</v>
      </c>
      <c r="D1489" t="inlineStr">
        <is>
          <t>SKÅNE LÄN</t>
        </is>
      </c>
      <c r="E1489" t="inlineStr">
        <is>
          <t>ÖRKELLJUNGA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55412-2022</t>
        </is>
      </c>
      <c r="B1490" s="1" t="n">
        <v>44882</v>
      </c>
      <c r="C1490" s="1" t="n">
        <v>45962</v>
      </c>
      <c r="D1490" t="inlineStr">
        <is>
          <t>SKÅNE LÄN</t>
        </is>
      </c>
      <c r="E1490" t="inlineStr">
        <is>
          <t>HÄSSLEHOLM</t>
        </is>
      </c>
      <c r="F1490" t="inlineStr">
        <is>
          <t>Övriga Aktiebolag</t>
        </is>
      </c>
      <c r="G1490" t="n">
        <v>4</v>
      </c>
      <c r="H1490" t="n">
        <v>0</v>
      </c>
      <c r="I1490" t="n">
        <v>0</v>
      </c>
      <c r="J1490" t="n">
        <v>0</v>
      </c>
      <c r="K1490" t="n">
        <v>0</v>
      </c>
      <c r="L1490" t="n">
        <v>0</v>
      </c>
      <c r="M1490" t="n">
        <v>0</v>
      </c>
      <c r="N1490" t="n">
        <v>0</v>
      </c>
      <c r="O1490" t="n">
        <v>0</v>
      </c>
      <c r="P1490" t="n">
        <v>0</v>
      </c>
      <c r="Q1490" t="n">
        <v>0</v>
      </c>
      <c r="R1490" s="2" t="inlineStr"/>
    </row>
    <row r="1491" ht="15" customHeight="1">
      <c r="A1491" t="inlineStr">
        <is>
          <t>A 8601-2023</t>
        </is>
      </c>
      <c r="B1491" s="1" t="n">
        <v>44977</v>
      </c>
      <c r="C1491" s="1" t="n">
        <v>45962</v>
      </c>
      <c r="D1491" t="inlineStr">
        <is>
          <t>SKÅNE LÄN</t>
        </is>
      </c>
      <c r="E1491" t="inlineStr">
        <is>
          <t>LUND</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48026-2021</t>
        </is>
      </c>
      <c r="B1492" s="1" t="n">
        <v>44449</v>
      </c>
      <c r="C1492" s="1" t="n">
        <v>45962</v>
      </c>
      <c r="D1492" t="inlineStr">
        <is>
          <t>SKÅNE LÄN</t>
        </is>
      </c>
      <c r="E1492" t="inlineStr">
        <is>
          <t>SJÖBO</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53576-2022</t>
        </is>
      </c>
      <c r="B1493" s="1" t="n">
        <v>44875</v>
      </c>
      <c r="C1493" s="1" t="n">
        <v>45962</v>
      </c>
      <c r="D1493" t="inlineStr">
        <is>
          <t>SKÅNE LÄN</t>
        </is>
      </c>
      <c r="E1493" t="inlineStr">
        <is>
          <t>HÄSSLEHOLM</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4928-2022</t>
        </is>
      </c>
      <c r="B1494" s="1" t="n">
        <v>44593.47482638889</v>
      </c>
      <c r="C1494" s="1" t="n">
        <v>45962</v>
      </c>
      <c r="D1494" t="inlineStr">
        <is>
          <t>SKÅNE LÄN</t>
        </is>
      </c>
      <c r="E1494" t="inlineStr">
        <is>
          <t>HÖÖR</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16434-2025</t>
        </is>
      </c>
      <c r="B1495" s="1" t="n">
        <v>45751.48209490741</v>
      </c>
      <c r="C1495" s="1" t="n">
        <v>45962</v>
      </c>
      <c r="D1495" t="inlineStr">
        <is>
          <t>SKÅNE LÄN</t>
        </is>
      </c>
      <c r="E1495" t="inlineStr">
        <is>
          <t>HÖÖR</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59675-2023</t>
        </is>
      </c>
      <c r="B1496" s="1" t="n">
        <v>45255.57924768519</v>
      </c>
      <c r="C1496" s="1" t="n">
        <v>45962</v>
      </c>
      <c r="D1496" t="inlineStr">
        <is>
          <t>SKÅNE LÄN</t>
        </is>
      </c>
      <c r="E1496" t="inlineStr">
        <is>
          <t>OSBY</t>
        </is>
      </c>
      <c r="G1496" t="n">
        <v>8.300000000000001</v>
      </c>
      <c r="H1496" t="n">
        <v>0</v>
      </c>
      <c r="I1496" t="n">
        <v>0</v>
      </c>
      <c r="J1496" t="n">
        <v>0</v>
      </c>
      <c r="K1496" t="n">
        <v>0</v>
      </c>
      <c r="L1496" t="n">
        <v>0</v>
      </c>
      <c r="M1496" t="n">
        <v>0</v>
      </c>
      <c r="N1496" t="n">
        <v>0</v>
      </c>
      <c r="O1496" t="n">
        <v>0</v>
      </c>
      <c r="P1496" t="n">
        <v>0</v>
      </c>
      <c r="Q1496" t="n">
        <v>0</v>
      </c>
      <c r="R1496" s="2" t="inlineStr"/>
    </row>
    <row r="1497" ht="15" customHeight="1">
      <c r="A1497" t="inlineStr">
        <is>
          <t>A 59677-2023</t>
        </is>
      </c>
      <c r="B1497" s="1" t="n">
        <v>45255</v>
      </c>
      <c r="C1497" s="1" t="n">
        <v>45962</v>
      </c>
      <c r="D1497" t="inlineStr">
        <is>
          <t>SKÅNE LÄN</t>
        </is>
      </c>
      <c r="E1497" t="inlineStr">
        <is>
          <t>OSBY</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31721-2023</t>
        </is>
      </c>
      <c r="B1498" s="1" t="n">
        <v>45117.89976851852</v>
      </c>
      <c r="C1498" s="1" t="n">
        <v>45962</v>
      </c>
      <c r="D1498" t="inlineStr">
        <is>
          <t>SKÅNE LÄN</t>
        </is>
      </c>
      <c r="E1498" t="inlineStr">
        <is>
          <t>OSBY</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42454-2024</t>
        </is>
      </c>
      <c r="B1499" s="1" t="n">
        <v>45565</v>
      </c>
      <c r="C1499" s="1" t="n">
        <v>45962</v>
      </c>
      <c r="D1499" t="inlineStr">
        <is>
          <t>SKÅNE LÄN</t>
        </is>
      </c>
      <c r="E1499" t="inlineStr">
        <is>
          <t>PERSTORP</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36160-2023</t>
        </is>
      </c>
      <c r="B1500" s="1" t="n">
        <v>45149</v>
      </c>
      <c r="C1500" s="1" t="n">
        <v>45962</v>
      </c>
      <c r="D1500" t="inlineStr">
        <is>
          <t>SKÅNE LÄN</t>
        </is>
      </c>
      <c r="E1500" t="inlineStr">
        <is>
          <t>KRISTIANSTAD</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36568-2024</t>
        </is>
      </c>
      <c r="B1501" s="1" t="n">
        <v>45537</v>
      </c>
      <c r="C1501" s="1" t="n">
        <v>45962</v>
      </c>
      <c r="D1501" t="inlineStr">
        <is>
          <t>SKÅNE LÄN</t>
        </is>
      </c>
      <c r="E1501" t="inlineStr">
        <is>
          <t>HÄSSLEHOLM</t>
        </is>
      </c>
      <c r="G1501" t="n">
        <v>4.3</v>
      </c>
      <c r="H1501" t="n">
        <v>0</v>
      </c>
      <c r="I1501" t="n">
        <v>0</v>
      </c>
      <c r="J1501" t="n">
        <v>0</v>
      </c>
      <c r="K1501" t="n">
        <v>0</v>
      </c>
      <c r="L1501" t="n">
        <v>0</v>
      </c>
      <c r="M1501" t="n">
        <v>0</v>
      </c>
      <c r="N1501" t="n">
        <v>0</v>
      </c>
      <c r="O1501" t="n">
        <v>0</v>
      </c>
      <c r="P1501" t="n">
        <v>0</v>
      </c>
      <c r="Q1501" t="n">
        <v>0</v>
      </c>
      <c r="R1501" s="2" t="inlineStr"/>
    </row>
    <row r="1502" ht="15" customHeight="1">
      <c r="A1502" t="inlineStr">
        <is>
          <t>A 36569-2024</t>
        </is>
      </c>
      <c r="B1502" s="1" t="n">
        <v>45537.48940972222</v>
      </c>
      <c r="C1502" s="1" t="n">
        <v>45962</v>
      </c>
      <c r="D1502" t="inlineStr">
        <is>
          <t>SKÅNE LÄN</t>
        </is>
      </c>
      <c r="E1502" t="inlineStr">
        <is>
          <t>OSBY</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14514-2023</t>
        </is>
      </c>
      <c r="B1503" s="1" t="n">
        <v>45012</v>
      </c>
      <c r="C1503" s="1" t="n">
        <v>45962</v>
      </c>
      <c r="D1503" t="inlineStr">
        <is>
          <t>SKÅNE LÄN</t>
        </is>
      </c>
      <c r="E1503" t="inlineStr">
        <is>
          <t>HÖÖR</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14516-2023</t>
        </is>
      </c>
      <c r="B1504" s="1" t="n">
        <v>45012.86600694444</v>
      </c>
      <c r="C1504" s="1" t="n">
        <v>45962</v>
      </c>
      <c r="D1504" t="inlineStr">
        <is>
          <t>SKÅNE LÄN</t>
        </is>
      </c>
      <c r="E1504" t="inlineStr">
        <is>
          <t>ÅSTORP</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42898-2023</t>
        </is>
      </c>
      <c r="B1505" s="1" t="n">
        <v>45182.48615740741</v>
      </c>
      <c r="C1505" s="1" t="n">
        <v>45962</v>
      </c>
      <c r="D1505" t="inlineStr">
        <is>
          <t>SKÅNE LÄN</t>
        </is>
      </c>
      <c r="E1505" t="inlineStr">
        <is>
          <t>KRISTIANSTAD</t>
        </is>
      </c>
      <c r="F1505" t="inlineStr">
        <is>
          <t>Sveaskog</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20239-2025</t>
        </is>
      </c>
      <c r="B1506" s="1" t="n">
        <v>45772</v>
      </c>
      <c r="C1506" s="1" t="n">
        <v>45962</v>
      </c>
      <c r="D1506" t="inlineStr">
        <is>
          <t>SKÅNE LÄN</t>
        </is>
      </c>
      <c r="E1506" t="inlineStr">
        <is>
          <t>BJUV</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13990-2022</t>
        </is>
      </c>
      <c r="B1507" s="1" t="n">
        <v>44650</v>
      </c>
      <c r="C1507" s="1" t="n">
        <v>45962</v>
      </c>
      <c r="D1507" t="inlineStr">
        <is>
          <t>SKÅNE LÄN</t>
        </is>
      </c>
      <c r="E1507" t="inlineStr">
        <is>
          <t>HÄSSLEHOLM</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36645-2022</t>
        </is>
      </c>
      <c r="B1508" s="1" t="n">
        <v>44804.7465625</v>
      </c>
      <c r="C1508" s="1" t="n">
        <v>45962</v>
      </c>
      <c r="D1508" t="inlineStr">
        <is>
          <t>SKÅNE LÄN</t>
        </is>
      </c>
      <c r="E1508" t="inlineStr">
        <is>
          <t>OSBY</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9323-2025</t>
        </is>
      </c>
      <c r="B1509" s="1" t="n">
        <v>45714.73532407408</v>
      </c>
      <c r="C1509" s="1" t="n">
        <v>45962</v>
      </c>
      <c r="D1509" t="inlineStr">
        <is>
          <t>SKÅNE LÄN</t>
        </is>
      </c>
      <c r="E1509" t="inlineStr">
        <is>
          <t>HÄSSLEHOLM</t>
        </is>
      </c>
      <c r="G1509" t="n">
        <v>5.2</v>
      </c>
      <c r="H1509" t="n">
        <v>0</v>
      </c>
      <c r="I1509" t="n">
        <v>0</v>
      </c>
      <c r="J1509" t="n">
        <v>0</v>
      </c>
      <c r="K1509" t="n">
        <v>0</v>
      </c>
      <c r="L1509" t="n">
        <v>0</v>
      </c>
      <c r="M1509" t="n">
        <v>0</v>
      </c>
      <c r="N1509" t="n">
        <v>0</v>
      </c>
      <c r="O1509" t="n">
        <v>0</v>
      </c>
      <c r="P1509" t="n">
        <v>0</v>
      </c>
      <c r="Q1509" t="n">
        <v>0</v>
      </c>
      <c r="R1509" s="2" t="inlineStr"/>
    </row>
    <row r="1510" ht="15" customHeight="1">
      <c r="A1510" t="inlineStr">
        <is>
          <t>A 19593-2023</t>
        </is>
      </c>
      <c r="B1510" s="1" t="n">
        <v>45050.75895833333</v>
      </c>
      <c r="C1510" s="1" t="n">
        <v>45962</v>
      </c>
      <c r="D1510" t="inlineStr">
        <is>
          <t>SKÅNE LÄN</t>
        </is>
      </c>
      <c r="E1510" t="inlineStr">
        <is>
          <t>HÄSSLEHOLM</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29169-2021</t>
        </is>
      </c>
      <c r="B1511" s="1" t="n">
        <v>44358</v>
      </c>
      <c r="C1511" s="1" t="n">
        <v>45962</v>
      </c>
      <c r="D1511" t="inlineStr">
        <is>
          <t>SKÅNE LÄN</t>
        </is>
      </c>
      <c r="E1511" t="inlineStr">
        <is>
          <t>ÖRKELLJUNGA</t>
        </is>
      </c>
      <c r="G1511" t="n">
        <v>4.8</v>
      </c>
      <c r="H1511" t="n">
        <v>0</v>
      </c>
      <c r="I1511" t="n">
        <v>0</v>
      </c>
      <c r="J1511" t="n">
        <v>0</v>
      </c>
      <c r="K1511" t="n">
        <v>0</v>
      </c>
      <c r="L1511" t="n">
        <v>0</v>
      </c>
      <c r="M1511" t="n">
        <v>0</v>
      </c>
      <c r="N1511" t="n">
        <v>0</v>
      </c>
      <c r="O1511" t="n">
        <v>0</v>
      </c>
      <c r="P1511" t="n">
        <v>0</v>
      </c>
      <c r="Q1511" t="n">
        <v>0</v>
      </c>
      <c r="R1511" s="2" t="inlineStr"/>
    </row>
    <row r="1512" ht="15" customHeight="1">
      <c r="A1512" t="inlineStr">
        <is>
          <t>A 8882-2025</t>
        </is>
      </c>
      <c r="B1512" s="1" t="n">
        <v>45713</v>
      </c>
      <c r="C1512" s="1" t="n">
        <v>45962</v>
      </c>
      <c r="D1512" t="inlineStr">
        <is>
          <t>SKÅNE LÄN</t>
        </is>
      </c>
      <c r="E1512" t="inlineStr">
        <is>
          <t>ÄNGELHOLM</t>
        </is>
      </c>
      <c r="G1512" t="n">
        <v>2.3</v>
      </c>
      <c r="H1512" t="n">
        <v>0</v>
      </c>
      <c r="I1512" t="n">
        <v>0</v>
      </c>
      <c r="J1512" t="n">
        <v>0</v>
      </c>
      <c r="K1512" t="n">
        <v>0</v>
      </c>
      <c r="L1512" t="n">
        <v>0</v>
      </c>
      <c r="M1512" t="n">
        <v>0</v>
      </c>
      <c r="N1512" t="n">
        <v>0</v>
      </c>
      <c r="O1512" t="n">
        <v>0</v>
      </c>
      <c r="P1512" t="n">
        <v>0</v>
      </c>
      <c r="Q1512" t="n">
        <v>0</v>
      </c>
      <c r="R1512" s="2" t="inlineStr"/>
    </row>
    <row r="1513" ht="15" customHeight="1">
      <c r="A1513" t="inlineStr">
        <is>
          <t>A 18603-2025</t>
        </is>
      </c>
      <c r="B1513" s="1" t="n">
        <v>45763.49189814815</v>
      </c>
      <c r="C1513" s="1" t="n">
        <v>45962</v>
      </c>
      <c r="D1513" t="inlineStr">
        <is>
          <t>SKÅNE LÄN</t>
        </is>
      </c>
      <c r="E1513" t="inlineStr">
        <is>
          <t>HÖRBY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52958-2024</t>
        </is>
      </c>
      <c r="B1514" s="1" t="n">
        <v>45611.26017361111</v>
      </c>
      <c r="C1514" s="1" t="n">
        <v>45962</v>
      </c>
      <c r="D1514" t="inlineStr">
        <is>
          <t>SKÅNE LÄN</t>
        </is>
      </c>
      <c r="E1514" t="inlineStr">
        <is>
          <t>SJÖBO</t>
        </is>
      </c>
      <c r="G1514" t="n">
        <v>3.6</v>
      </c>
      <c r="H1514" t="n">
        <v>0</v>
      </c>
      <c r="I1514" t="n">
        <v>0</v>
      </c>
      <c r="J1514" t="n">
        <v>0</v>
      </c>
      <c r="K1514" t="n">
        <v>0</v>
      </c>
      <c r="L1514" t="n">
        <v>0</v>
      </c>
      <c r="M1514" t="n">
        <v>0</v>
      </c>
      <c r="N1514" t="n">
        <v>0</v>
      </c>
      <c r="O1514" t="n">
        <v>0</v>
      </c>
      <c r="P1514" t="n">
        <v>0</v>
      </c>
      <c r="Q1514" t="n">
        <v>0</v>
      </c>
      <c r="R1514" s="2" t="inlineStr"/>
    </row>
    <row r="1515" ht="15" customHeight="1">
      <c r="A1515" t="inlineStr">
        <is>
          <t>A 5224-2024</t>
        </is>
      </c>
      <c r="B1515" s="1" t="n">
        <v>45330</v>
      </c>
      <c r="C1515" s="1" t="n">
        <v>45962</v>
      </c>
      <c r="D1515" t="inlineStr">
        <is>
          <t>SKÅNE LÄN</t>
        </is>
      </c>
      <c r="E1515" t="inlineStr">
        <is>
          <t>SIMRISHAMN</t>
        </is>
      </c>
      <c r="F1515" t="inlineStr">
        <is>
          <t>Övriga Aktiebolag</t>
        </is>
      </c>
      <c r="G1515" t="n">
        <v>18.4</v>
      </c>
      <c r="H1515" t="n">
        <v>0</v>
      </c>
      <c r="I1515" t="n">
        <v>0</v>
      </c>
      <c r="J1515" t="n">
        <v>0</v>
      </c>
      <c r="K1515" t="n">
        <v>0</v>
      </c>
      <c r="L1515" t="n">
        <v>0</v>
      </c>
      <c r="M1515" t="n">
        <v>0</v>
      </c>
      <c r="N1515" t="n">
        <v>0</v>
      </c>
      <c r="O1515" t="n">
        <v>0</v>
      </c>
      <c r="P1515" t="n">
        <v>0</v>
      </c>
      <c r="Q1515" t="n">
        <v>0</v>
      </c>
      <c r="R1515" s="2" t="inlineStr"/>
    </row>
    <row r="1516" ht="15" customHeight="1">
      <c r="A1516" t="inlineStr">
        <is>
          <t>A 16789-2025</t>
        </is>
      </c>
      <c r="B1516" s="1" t="n">
        <v>45754.60923611111</v>
      </c>
      <c r="C1516" s="1" t="n">
        <v>45962</v>
      </c>
      <c r="D1516" t="inlineStr">
        <is>
          <t>SKÅNE LÄN</t>
        </is>
      </c>
      <c r="E1516" t="inlineStr">
        <is>
          <t>HÖÖR</t>
        </is>
      </c>
      <c r="G1516" t="n">
        <v>5.7</v>
      </c>
      <c r="H1516" t="n">
        <v>0</v>
      </c>
      <c r="I1516" t="n">
        <v>0</v>
      </c>
      <c r="J1516" t="n">
        <v>0</v>
      </c>
      <c r="K1516" t="n">
        <v>0</v>
      </c>
      <c r="L1516" t="n">
        <v>0</v>
      </c>
      <c r="M1516" t="n">
        <v>0</v>
      </c>
      <c r="N1516" t="n">
        <v>0</v>
      </c>
      <c r="O1516" t="n">
        <v>0</v>
      </c>
      <c r="P1516" t="n">
        <v>0</v>
      </c>
      <c r="Q1516" t="n">
        <v>0</v>
      </c>
      <c r="R1516" s="2" t="inlineStr"/>
    </row>
    <row r="1517" ht="15" customHeight="1">
      <c r="A1517" t="inlineStr">
        <is>
          <t>A 17675-2023</t>
        </is>
      </c>
      <c r="B1517" s="1" t="n">
        <v>45035</v>
      </c>
      <c r="C1517" s="1" t="n">
        <v>45962</v>
      </c>
      <c r="D1517" t="inlineStr">
        <is>
          <t>SKÅNE LÄN</t>
        </is>
      </c>
      <c r="E1517" t="inlineStr">
        <is>
          <t>OSBY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3198-2023</t>
        </is>
      </c>
      <c r="B1518" s="1" t="n">
        <v>44944</v>
      </c>
      <c r="C1518" s="1" t="n">
        <v>45962</v>
      </c>
      <c r="D1518" t="inlineStr">
        <is>
          <t>SKÅNE LÄN</t>
        </is>
      </c>
      <c r="E1518" t="inlineStr">
        <is>
          <t>KLIPPAN</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17824-2023</t>
        </is>
      </c>
      <c r="B1519" s="1" t="n">
        <v>45037.59636574074</v>
      </c>
      <c r="C1519" s="1" t="n">
        <v>45962</v>
      </c>
      <c r="D1519" t="inlineStr">
        <is>
          <t>SKÅNE LÄN</t>
        </is>
      </c>
      <c r="E1519" t="inlineStr">
        <is>
          <t>OSBY</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6253-2022</t>
        </is>
      </c>
      <c r="B1520" s="1" t="n">
        <v>44600</v>
      </c>
      <c r="C1520" s="1" t="n">
        <v>45962</v>
      </c>
      <c r="D1520" t="inlineStr">
        <is>
          <t>SKÅNE LÄN</t>
        </is>
      </c>
      <c r="E1520" t="inlineStr">
        <is>
          <t>HÄSSLEHOLM</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54711-2024</t>
        </is>
      </c>
      <c r="B1521" s="1" t="n">
        <v>45618</v>
      </c>
      <c r="C1521" s="1" t="n">
        <v>45962</v>
      </c>
      <c r="D1521" t="inlineStr">
        <is>
          <t>SKÅNE LÄN</t>
        </is>
      </c>
      <c r="E1521" t="inlineStr">
        <is>
          <t>HÖÖR</t>
        </is>
      </c>
      <c r="G1521" t="n">
        <v>5</v>
      </c>
      <c r="H1521" t="n">
        <v>0</v>
      </c>
      <c r="I1521" t="n">
        <v>0</v>
      </c>
      <c r="J1521" t="n">
        <v>0</v>
      </c>
      <c r="K1521" t="n">
        <v>0</v>
      </c>
      <c r="L1521" t="n">
        <v>0</v>
      </c>
      <c r="M1521" t="n">
        <v>0</v>
      </c>
      <c r="N1521" t="n">
        <v>0</v>
      </c>
      <c r="O1521" t="n">
        <v>0</v>
      </c>
      <c r="P1521" t="n">
        <v>0</v>
      </c>
      <c r="Q1521" t="n">
        <v>0</v>
      </c>
      <c r="R1521" s="2" t="inlineStr"/>
    </row>
    <row r="1522" ht="15" customHeight="1">
      <c r="A1522" t="inlineStr">
        <is>
          <t>A 2405-2025</t>
        </is>
      </c>
      <c r="B1522" s="1" t="n">
        <v>45674.35796296296</v>
      </c>
      <c r="C1522" s="1" t="n">
        <v>45962</v>
      </c>
      <c r="D1522" t="inlineStr">
        <is>
          <t>SKÅNE LÄN</t>
        </is>
      </c>
      <c r="E1522" t="inlineStr">
        <is>
          <t>ÖRKELLJUNGA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57976-2023</t>
        </is>
      </c>
      <c r="B1523" s="1" t="n">
        <v>45247.58837962963</v>
      </c>
      <c r="C1523" s="1" t="n">
        <v>45962</v>
      </c>
      <c r="D1523" t="inlineStr">
        <is>
          <t>SKÅNE LÄN</t>
        </is>
      </c>
      <c r="E1523" t="inlineStr">
        <is>
          <t>KRISTIANSTAD</t>
        </is>
      </c>
      <c r="G1523" t="n">
        <v>0.3</v>
      </c>
      <c r="H1523" t="n">
        <v>0</v>
      </c>
      <c r="I1523" t="n">
        <v>0</v>
      </c>
      <c r="J1523" t="n">
        <v>0</v>
      </c>
      <c r="K1523" t="n">
        <v>0</v>
      </c>
      <c r="L1523" t="n">
        <v>0</v>
      </c>
      <c r="M1523" t="n">
        <v>0</v>
      </c>
      <c r="N1523" t="n">
        <v>0</v>
      </c>
      <c r="O1523" t="n">
        <v>0</v>
      </c>
      <c r="P1523" t="n">
        <v>0</v>
      </c>
      <c r="Q1523" t="n">
        <v>0</v>
      </c>
      <c r="R1523" s="2" t="inlineStr"/>
    </row>
    <row r="1524" ht="15" customHeight="1">
      <c r="A1524" t="inlineStr">
        <is>
          <t>A 34591-2023</t>
        </is>
      </c>
      <c r="B1524" s="1" t="n">
        <v>45140</v>
      </c>
      <c r="C1524" s="1" t="n">
        <v>45962</v>
      </c>
      <c r="D1524" t="inlineStr">
        <is>
          <t>SKÅNE LÄN</t>
        </is>
      </c>
      <c r="E1524" t="inlineStr">
        <is>
          <t>ÖRKELLJUNGA</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3396-2024</t>
        </is>
      </c>
      <c r="B1525" s="1" t="n">
        <v>45318</v>
      </c>
      <c r="C1525" s="1" t="n">
        <v>45962</v>
      </c>
      <c r="D1525" t="inlineStr">
        <is>
          <t>SKÅNE LÄN</t>
        </is>
      </c>
      <c r="E1525" t="inlineStr">
        <is>
          <t>SIMRISHAMN</t>
        </is>
      </c>
      <c r="G1525" t="n">
        <v>4.4</v>
      </c>
      <c r="H1525" t="n">
        <v>0</v>
      </c>
      <c r="I1525" t="n">
        <v>0</v>
      </c>
      <c r="J1525" t="n">
        <v>0</v>
      </c>
      <c r="K1525" t="n">
        <v>0</v>
      </c>
      <c r="L1525" t="n">
        <v>0</v>
      </c>
      <c r="M1525" t="n">
        <v>0</v>
      </c>
      <c r="N1525" t="n">
        <v>0</v>
      </c>
      <c r="O1525" t="n">
        <v>0</v>
      </c>
      <c r="P1525" t="n">
        <v>0</v>
      </c>
      <c r="Q1525" t="n">
        <v>0</v>
      </c>
      <c r="R1525" s="2" t="inlineStr"/>
    </row>
    <row r="1526" ht="15" customHeight="1">
      <c r="A1526" t="inlineStr">
        <is>
          <t>A 3405-2024</t>
        </is>
      </c>
      <c r="B1526" s="1" t="n">
        <v>45318</v>
      </c>
      <c r="C1526" s="1" t="n">
        <v>45962</v>
      </c>
      <c r="D1526" t="inlineStr">
        <is>
          <t>SKÅNE LÄN</t>
        </is>
      </c>
      <c r="E1526" t="inlineStr">
        <is>
          <t>SIMRISHAMN</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40661-2022</t>
        </is>
      </c>
      <c r="B1527" s="1" t="n">
        <v>44824.37194444444</v>
      </c>
      <c r="C1527" s="1" t="n">
        <v>45962</v>
      </c>
      <c r="D1527" t="inlineStr">
        <is>
          <t>SKÅNE LÄN</t>
        </is>
      </c>
      <c r="E1527" t="inlineStr">
        <is>
          <t>KRISTIANSTAD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10773-2025</t>
        </is>
      </c>
      <c r="B1528" s="1" t="n">
        <v>45722.47409722222</v>
      </c>
      <c r="C1528" s="1" t="n">
        <v>45962</v>
      </c>
      <c r="D1528" t="inlineStr">
        <is>
          <t>SKÅNE LÄN</t>
        </is>
      </c>
      <c r="E1528" t="inlineStr">
        <is>
          <t>ESLÖV</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6875-2024</t>
        </is>
      </c>
      <c r="B1529" s="1" t="n">
        <v>45342</v>
      </c>
      <c r="C1529" s="1" t="n">
        <v>45962</v>
      </c>
      <c r="D1529" t="inlineStr">
        <is>
          <t>SKÅNE LÄN</t>
        </is>
      </c>
      <c r="E1529" t="inlineStr">
        <is>
          <t>OSBY</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6876-2024</t>
        </is>
      </c>
      <c r="B1530" s="1" t="n">
        <v>45342</v>
      </c>
      <c r="C1530" s="1" t="n">
        <v>45962</v>
      </c>
      <c r="D1530" t="inlineStr">
        <is>
          <t>SKÅNE LÄN</t>
        </is>
      </c>
      <c r="E1530" t="inlineStr">
        <is>
          <t>OSBY</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17908-2021</t>
        </is>
      </c>
      <c r="B1531" s="1" t="n">
        <v>44301</v>
      </c>
      <c r="C1531" s="1" t="n">
        <v>45962</v>
      </c>
      <c r="D1531" t="inlineStr">
        <is>
          <t>SKÅNE LÄN</t>
        </is>
      </c>
      <c r="E1531" t="inlineStr">
        <is>
          <t>SKURUP</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25475-2023</t>
        </is>
      </c>
      <c r="B1532" s="1" t="n">
        <v>45089</v>
      </c>
      <c r="C1532" s="1" t="n">
        <v>45962</v>
      </c>
      <c r="D1532" t="inlineStr">
        <is>
          <t>SKÅNE LÄN</t>
        </is>
      </c>
      <c r="E1532" t="inlineStr">
        <is>
          <t>SIMRISHAMN</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44814-2022</t>
        </is>
      </c>
      <c r="B1533" s="1" t="n">
        <v>44841.40362268518</v>
      </c>
      <c r="C1533" s="1" t="n">
        <v>45962</v>
      </c>
      <c r="D1533" t="inlineStr">
        <is>
          <t>SKÅNE LÄN</t>
        </is>
      </c>
      <c r="E1533" t="inlineStr">
        <is>
          <t>ÖRKELLJUNGA</t>
        </is>
      </c>
      <c r="G1533" t="n">
        <v>5.2</v>
      </c>
      <c r="H1533" t="n">
        <v>0</v>
      </c>
      <c r="I1533" t="n">
        <v>0</v>
      </c>
      <c r="J1533" t="n">
        <v>0</v>
      </c>
      <c r="K1533" t="n">
        <v>0</v>
      </c>
      <c r="L1533" t="n">
        <v>0</v>
      </c>
      <c r="M1533" t="n">
        <v>0</v>
      </c>
      <c r="N1533" t="n">
        <v>0</v>
      </c>
      <c r="O1533" t="n">
        <v>0</v>
      </c>
      <c r="P1533" t="n">
        <v>0</v>
      </c>
      <c r="Q1533" t="n">
        <v>0</v>
      </c>
      <c r="R1533" s="2" t="inlineStr"/>
    </row>
    <row r="1534" ht="15" customHeight="1">
      <c r="A1534" t="inlineStr">
        <is>
          <t>A 59201-2022</t>
        </is>
      </c>
      <c r="B1534" s="1" t="n">
        <v>44897</v>
      </c>
      <c r="C1534" s="1" t="n">
        <v>45962</v>
      </c>
      <c r="D1534" t="inlineStr">
        <is>
          <t>SKÅNE LÄN</t>
        </is>
      </c>
      <c r="E1534" t="inlineStr">
        <is>
          <t>ÖSTRA GÖINGE</t>
        </is>
      </c>
      <c r="G1534" t="n">
        <v>0.3</v>
      </c>
      <c r="H1534" t="n">
        <v>0</v>
      </c>
      <c r="I1534" t="n">
        <v>0</v>
      </c>
      <c r="J1534" t="n">
        <v>0</v>
      </c>
      <c r="K1534" t="n">
        <v>0</v>
      </c>
      <c r="L1534" t="n">
        <v>0</v>
      </c>
      <c r="M1534" t="n">
        <v>0</v>
      </c>
      <c r="N1534" t="n">
        <v>0</v>
      </c>
      <c r="O1534" t="n">
        <v>0</v>
      </c>
      <c r="P1534" t="n">
        <v>0</v>
      </c>
      <c r="Q1534" t="n">
        <v>0</v>
      </c>
      <c r="R1534" s="2" t="inlineStr"/>
    </row>
    <row r="1535" ht="15" customHeight="1">
      <c r="A1535" t="inlineStr">
        <is>
          <t>A 18735-2024</t>
        </is>
      </c>
      <c r="B1535" s="1" t="n">
        <v>45426</v>
      </c>
      <c r="C1535" s="1" t="n">
        <v>45962</v>
      </c>
      <c r="D1535" t="inlineStr">
        <is>
          <t>SKÅNE LÄN</t>
        </is>
      </c>
      <c r="E1535" t="inlineStr">
        <is>
          <t>KRISTIANSTAD</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19380-2021</t>
        </is>
      </c>
      <c r="B1536" s="1" t="n">
        <v>44309</v>
      </c>
      <c r="C1536" s="1" t="n">
        <v>45962</v>
      </c>
      <c r="D1536" t="inlineStr">
        <is>
          <t>SKÅNE LÄN</t>
        </is>
      </c>
      <c r="E1536" t="inlineStr">
        <is>
          <t>HÖÖR</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22081-2023</t>
        </is>
      </c>
      <c r="B1537" s="1" t="n">
        <v>45069</v>
      </c>
      <c r="C1537" s="1" t="n">
        <v>45962</v>
      </c>
      <c r="D1537" t="inlineStr">
        <is>
          <t>SKÅNE LÄN</t>
        </is>
      </c>
      <c r="E1537" t="inlineStr">
        <is>
          <t>ÖSTRA GÖINGE</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3471-2025</t>
        </is>
      </c>
      <c r="B1538" s="1" t="n">
        <v>45680</v>
      </c>
      <c r="C1538" s="1" t="n">
        <v>45962</v>
      </c>
      <c r="D1538" t="inlineStr">
        <is>
          <t>SKÅNE LÄN</t>
        </is>
      </c>
      <c r="E1538" t="inlineStr">
        <is>
          <t>HÖRBY</t>
        </is>
      </c>
      <c r="G1538" t="n">
        <v>3.7</v>
      </c>
      <c r="H1538" t="n">
        <v>0</v>
      </c>
      <c r="I1538" t="n">
        <v>0</v>
      </c>
      <c r="J1538" t="n">
        <v>0</v>
      </c>
      <c r="K1538" t="n">
        <v>0</v>
      </c>
      <c r="L1538" t="n">
        <v>0</v>
      </c>
      <c r="M1538" t="n">
        <v>0</v>
      </c>
      <c r="N1538" t="n">
        <v>0</v>
      </c>
      <c r="O1538" t="n">
        <v>0</v>
      </c>
      <c r="P1538" t="n">
        <v>0</v>
      </c>
      <c r="Q1538" t="n">
        <v>0</v>
      </c>
      <c r="R1538" s="2" t="inlineStr"/>
    </row>
    <row r="1539" ht="15" customHeight="1">
      <c r="A1539" t="inlineStr">
        <is>
          <t>A 33359-2023</t>
        </is>
      </c>
      <c r="B1539" s="1" t="n">
        <v>45128</v>
      </c>
      <c r="C1539" s="1" t="n">
        <v>45962</v>
      </c>
      <c r="D1539" t="inlineStr">
        <is>
          <t>SKÅNE LÄN</t>
        </is>
      </c>
      <c r="E1539" t="inlineStr">
        <is>
          <t>HÖRBY</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18856-2024</t>
        </is>
      </c>
      <c r="B1540" s="1" t="n">
        <v>45426</v>
      </c>
      <c r="C1540" s="1" t="n">
        <v>45962</v>
      </c>
      <c r="D1540" t="inlineStr">
        <is>
          <t>SKÅNE LÄN</t>
        </is>
      </c>
      <c r="E1540" t="inlineStr">
        <is>
          <t>SIMRISHAMN</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65235-2021</t>
        </is>
      </c>
      <c r="B1541" s="1" t="n">
        <v>44515</v>
      </c>
      <c r="C1541" s="1" t="n">
        <v>45962</v>
      </c>
      <c r="D1541" t="inlineStr">
        <is>
          <t>SKÅNE LÄN</t>
        </is>
      </c>
      <c r="E1541" t="inlineStr">
        <is>
          <t>HÄSSLEHOLM</t>
        </is>
      </c>
      <c r="G1541" t="n">
        <v>2.5</v>
      </c>
      <c r="H1541" t="n">
        <v>0</v>
      </c>
      <c r="I1541" t="n">
        <v>0</v>
      </c>
      <c r="J1541" t="n">
        <v>0</v>
      </c>
      <c r="K1541" t="n">
        <v>0</v>
      </c>
      <c r="L1541" t="n">
        <v>0</v>
      </c>
      <c r="M1541" t="n">
        <v>0</v>
      </c>
      <c r="N1541" t="n">
        <v>0</v>
      </c>
      <c r="O1541" t="n">
        <v>0</v>
      </c>
      <c r="P1541" t="n">
        <v>0</v>
      </c>
      <c r="Q1541" t="n">
        <v>0</v>
      </c>
      <c r="R1541" s="2" t="inlineStr"/>
    </row>
    <row r="1542" ht="15" customHeight="1">
      <c r="A1542" t="inlineStr">
        <is>
          <t>A 69383-2021</t>
        </is>
      </c>
      <c r="B1542" s="1" t="n">
        <v>44531</v>
      </c>
      <c r="C1542" s="1" t="n">
        <v>45962</v>
      </c>
      <c r="D1542" t="inlineStr">
        <is>
          <t>SKÅNE LÄN</t>
        </is>
      </c>
      <c r="E1542" t="inlineStr">
        <is>
          <t>ÖSTRA GÖINGE</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69390-2021</t>
        </is>
      </c>
      <c r="B1543" s="1" t="n">
        <v>44531</v>
      </c>
      <c r="C1543" s="1" t="n">
        <v>45962</v>
      </c>
      <c r="D1543" t="inlineStr">
        <is>
          <t>SKÅNE LÄN</t>
        </is>
      </c>
      <c r="E1543" t="inlineStr">
        <is>
          <t>ÖSTRA GÖINGE</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53586-2022</t>
        </is>
      </c>
      <c r="B1544" s="1" t="n">
        <v>44875</v>
      </c>
      <c r="C1544" s="1" t="n">
        <v>45962</v>
      </c>
      <c r="D1544" t="inlineStr">
        <is>
          <t>SKÅNE LÄN</t>
        </is>
      </c>
      <c r="E1544" t="inlineStr">
        <is>
          <t>PERSTORP</t>
        </is>
      </c>
      <c r="F1544" t="inlineStr">
        <is>
          <t>Övriga Aktiebolag</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10454-2025</t>
        </is>
      </c>
      <c r="B1545" s="1" t="n">
        <v>45720.7090625</v>
      </c>
      <c r="C1545" s="1" t="n">
        <v>45962</v>
      </c>
      <c r="D1545" t="inlineStr">
        <is>
          <t>SKÅNE LÄN</t>
        </is>
      </c>
      <c r="E1545" t="inlineStr">
        <is>
          <t>ÄNGELHOLM</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62052-2022</t>
        </is>
      </c>
      <c r="B1546" s="1" t="n">
        <v>44918</v>
      </c>
      <c r="C1546" s="1" t="n">
        <v>45962</v>
      </c>
      <c r="D1546" t="inlineStr">
        <is>
          <t>SKÅNE LÄN</t>
        </is>
      </c>
      <c r="E1546" t="inlineStr">
        <is>
          <t>ÖSTRA GÖINGE</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62066-2022</t>
        </is>
      </c>
      <c r="B1547" s="1" t="n">
        <v>44918</v>
      </c>
      <c r="C1547" s="1" t="n">
        <v>45962</v>
      </c>
      <c r="D1547" t="inlineStr">
        <is>
          <t>SKÅNE LÄN</t>
        </is>
      </c>
      <c r="E1547" t="inlineStr">
        <is>
          <t>KRISTIANSTAD</t>
        </is>
      </c>
      <c r="G1547" t="n">
        <v>6.3</v>
      </c>
      <c r="H1547" t="n">
        <v>0</v>
      </c>
      <c r="I1547" t="n">
        <v>0</v>
      </c>
      <c r="J1547" t="n">
        <v>0</v>
      </c>
      <c r="K1547" t="n">
        <v>0</v>
      </c>
      <c r="L1547" t="n">
        <v>0</v>
      </c>
      <c r="M1547" t="n">
        <v>0</v>
      </c>
      <c r="N1547" t="n">
        <v>0</v>
      </c>
      <c r="O1547" t="n">
        <v>0</v>
      </c>
      <c r="P1547" t="n">
        <v>0</v>
      </c>
      <c r="Q1547" t="n">
        <v>0</v>
      </c>
      <c r="R1547" s="2" t="inlineStr"/>
    </row>
    <row r="1548" ht="15" customHeight="1">
      <c r="A1548" t="inlineStr">
        <is>
          <t>A 27540-2024</t>
        </is>
      </c>
      <c r="B1548" s="1" t="n">
        <v>45474</v>
      </c>
      <c r="C1548" s="1" t="n">
        <v>45962</v>
      </c>
      <c r="D1548" t="inlineStr">
        <is>
          <t>SKÅNE LÄN</t>
        </is>
      </c>
      <c r="E1548" t="inlineStr">
        <is>
          <t>ÖRKELLJUNGA</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19877-2024</t>
        </is>
      </c>
      <c r="B1549" s="1" t="n">
        <v>45433</v>
      </c>
      <c r="C1549" s="1" t="n">
        <v>45962</v>
      </c>
      <c r="D1549" t="inlineStr">
        <is>
          <t>SKÅNE LÄN</t>
        </is>
      </c>
      <c r="E1549" t="inlineStr">
        <is>
          <t>SJÖBO</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16017-2023</t>
        </is>
      </c>
      <c r="B1550" s="1" t="n">
        <v>45026</v>
      </c>
      <c r="C1550" s="1" t="n">
        <v>45962</v>
      </c>
      <c r="D1550" t="inlineStr">
        <is>
          <t>SKÅNE LÄN</t>
        </is>
      </c>
      <c r="E1550" t="inlineStr">
        <is>
          <t>HÄSSLEHOLM</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29934-2023</t>
        </is>
      </c>
      <c r="B1551" s="1" t="n">
        <v>45107.90287037037</v>
      </c>
      <c r="C1551" s="1" t="n">
        <v>45962</v>
      </c>
      <c r="D1551" t="inlineStr">
        <is>
          <t>SKÅNE LÄN</t>
        </is>
      </c>
      <c r="E1551" t="inlineStr">
        <is>
          <t>KRISTIANSTAD</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12988-2024</t>
        </is>
      </c>
      <c r="B1552" s="1" t="n">
        <v>45385.55417824074</v>
      </c>
      <c r="C1552" s="1" t="n">
        <v>45962</v>
      </c>
      <c r="D1552" t="inlineStr">
        <is>
          <t>SKÅNE LÄN</t>
        </is>
      </c>
      <c r="E1552" t="inlineStr">
        <is>
          <t>TOMELILLA</t>
        </is>
      </c>
      <c r="F1552" t="inlineStr">
        <is>
          <t>Övriga Aktiebolag</t>
        </is>
      </c>
      <c r="G1552" t="n">
        <v>16.2</v>
      </c>
      <c r="H1552" t="n">
        <v>0</v>
      </c>
      <c r="I1552" t="n">
        <v>0</v>
      </c>
      <c r="J1552" t="n">
        <v>0</v>
      </c>
      <c r="K1552" t="n">
        <v>0</v>
      </c>
      <c r="L1552" t="n">
        <v>0</v>
      </c>
      <c r="M1552" t="n">
        <v>0</v>
      </c>
      <c r="N1552" t="n">
        <v>0</v>
      </c>
      <c r="O1552" t="n">
        <v>0</v>
      </c>
      <c r="P1552" t="n">
        <v>0</v>
      </c>
      <c r="Q1552" t="n">
        <v>0</v>
      </c>
      <c r="R1552" s="2" t="inlineStr"/>
    </row>
    <row r="1553" ht="15" customHeight="1">
      <c r="A1553" t="inlineStr">
        <is>
          <t>A 13549-2025</t>
        </is>
      </c>
      <c r="B1553" s="1" t="n">
        <v>45736</v>
      </c>
      <c r="C1553" s="1" t="n">
        <v>45962</v>
      </c>
      <c r="D1553" t="inlineStr">
        <is>
          <t>SKÅNE LÄN</t>
        </is>
      </c>
      <c r="E1553" t="inlineStr">
        <is>
          <t>HÄSSLEHOLM</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51245-2023</t>
        </is>
      </c>
      <c r="B1554" s="1" t="n">
        <v>45212</v>
      </c>
      <c r="C1554" s="1" t="n">
        <v>45962</v>
      </c>
      <c r="D1554" t="inlineStr">
        <is>
          <t>SKÅNE LÄN</t>
        </is>
      </c>
      <c r="E1554" t="inlineStr">
        <is>
          <t>HÄSSLEHOLM</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44196-2024</t>
        </is>
      </c>
      <c r="B1555" s="1" t="n">
        <v>45573.31803240741</v>
      </c>
      <c r="C1555" s="1" t="n">
        <v>45962</v>
      </c>
      <c r="D1555" t="inlineStr">
        <is>
          <t>SKÅNE LÄN</t>
        </is>
      </c>
      <c r="E1555" t="inlineStr">
        <is>
          <t>SVALÖV</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2316-2024</t>
        </is>
      </c>
      <c r="B1556" s="1" t="n">
        <v>45310</v>
      </c>
      <c r="C1556" s="1" t="n">
        <v>45962</v>
      </c>
      <c r="D1556" t="inlineStr">
        <is>
          <t>SKÅNE LÄN</t>
        </is>
      </c>
      <c r="E1556" t="inlineStr">
        <is>
          <t>KRISTIANSTAD</t>
        </is>
      </c>
      <c r="G1556" t="n">
        <v>1.4</v>
      </c>
      <c r="H1556" t="n">
        <v>0</v>
      </c>
      <c r="I1556" t="n">
        <v>0</v>
      </c>
      <c r="J1556" t="n">
        <v>0</v>
      </c>
      <c r="K1556" t="n">
        <v>0</v>
      </c>
      <c r="L1556" t="n">
        <v>0</v>
      </c>
      <c r="M1556" t="n">
        <v>0</v>
      </c>
      <c r="N1556" t="n">
        <v>0</v>
      </c>
      <c r="O1556" t="n">
        <v>0</v>
      </c>
      <c r="P1556" t="n">
        <v>0</v>
      </c>
      <c r="Q1556" t="n">
        <v>0</v>
      </c>
      <c r="R1556" s="2" t="inlineStr"/>
    </row>
    <row r="1557" ht="15" customHeight="1">
      <c r="A1557" t="inlineStr">
        <is>
          <t>A 30065-2023</t>
        </is>
      </c>
      <c r="B1557" s="1" t="n">
        <v>45110</v>
      </c>
      <c r="C1557" s="1" t="n">
        <v>45962</v>
      </c>
      <c r="D1557" t="inlineStr">
        <is>
          <t>SKÅNE LÄN</t>
        </is>
      </c>
      <c r="E1557" t="inlineStr">
        <is>
          <t>KRISTIANSTAD</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37303-2023</t>
        </is>
      </c>
      <c r="B1558" s="1" t="n">
        <v>45156.36318287037</v>
      </c>
      <c r="C1558" s="1" t="n">
        <v>45962</v>
      </c>
      <c r="D1558" t="inlineStr">
        <is>
          <t>SKÅNE LÄN</t>
        </is>
      </c>
      <c r="E1558" t="inlineStr">
        <is>
          <t>ÖSTRA GÖINGE</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33320-2023</t>
        </is>
      </c>
      <c r="B1559" s="1" t="n">
        <v>45127</v>
      </c>
      <c r="C1559" s="1" t="n">
        <v>45962</v>
      </c>
      <c r="D1559" t="inlineStr">
        <is>
          <t>SKÅNE LÄN</t>
        </is>
      </c>
      <c r="E1559" t="inlineStr">
        <is>
          <t>KRISTIANSTAD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15039-2024</t>
        </is>
      </c>
      <c r="B1560" s="1" t="n">
        <v>45399</v>
      </c>
      <c r="C1560" s="1" t="n">
        <v>45962</v>
      </c>
      <c r="D1560" t="inlineStr">
        <is>
          <t>SKÅNE LÄN</t>
        </is>
      </c>
      <c r="E1560" t="inlineStr">
        <is>
          <t>SIMRISHAMN</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30075-2023</t>
        </is>
      </c>
      <c r="B1561" s="1" t="n">
        <v>45110</v>
      </c>
      <c r="C1561" s="1" t="n">
        <v>45962</v>
      </c>
      <c r="D1561" t="inlineStr">
        <is>
          <t>SKÅNE LÄN</t>
        </is>
      </c>
      <c r="E1561" t="inlineStr">
        <is>
          <t>BROMÖLLA</t>
        </is>
      </c>
      <c r="G1561" t="n">
        <v>5</v>
      </c>
      <c r="H1561" t="n">
        <v>0</v>
      </c>
      <c r="I1561" t="n">
        <v>0</v>
      </c>
      <c r="J1561" t="n">
        <v>0</v>
      </c>
      <c r="K1561" t="n">
        <v>0</v>
      </c>
      <c r="L1561" t="n">
        <v>0</v>
      </c>
      <c r="M1561" t="n">
        <v>0</v>
      </c>
      <c r="N1561" t="n">
        <v>0</v>
      </c>
      <c r="O1561" t="n">
        <v>0</v>
      </c>
      <c r="P1561" t="n">
        <v>0</v>
      </c>
      <c r="Q1561" t="n">
        <v>0</v>
      </c>
      <c r="R1561" s="2" t="inlineStr"/>
    </row>
    <row r="1562" ht="15" customHeight="1">
      <c r="A1562" t="inlineStr">
        <is>
          <t>A 15631-2025</t>
        </is>
      </c>
      <c r="B1562" s="1" t="n">
        <v>45748</v>
      </c>
      <c r="C1562" s="1" t="n">
        <v>45962</v>
      </c>
      <c r="D1562" t="inlineStr">
        <is>
          <t>SKÅNE LÄN</t>
        </is>
      </c>
      <c r="E1562" t="inlineStr">
        <is>
          <t>HÖRBY</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27956-2022</t>
        </is>
      </c>
      <c r="B1563" s="1" t="n">
        <v>44743</v>
      </c>
      <c r="C1563" s="1" t="n">
        <v>45962</v>
      </c>
      <c r="D1563" t="inlineStr">
        <is>
          <t>SKÅNE LÄN</t>
        </is>
      </c>
      <c r="E1563" t="inlineStr">
        <is>
          <t>KRISTIANSTAD</t>
        </is>
      </c>
      <c r="G1563" t="n">
        <v>14.1</v>
      </c>
      <c r="H1563" t="n">
        <v>0</v>
      </c>
      <c r="I1563" t="n">
        <v>0</v>
      </c>
      <c r="J1563" t="n">
        <v>0</v>
      </c>
      <c r="K1563" t="n">
        <v>0</v>
      </c>
      <c r="L1563" t="n">
        <v>0</v>
      </c>
      <c r="M1563" t="n">
        <v>0</v>
      </c>
      <c r="N1563" t="n">
        <v>0</v>
      </c>
      <c r="O1563" t="n">
        <v>0</v>
      </c>
      <c r="P1563" t="n">
        <v>0</v>
      </c>
      <c r="Q1563" t="n">
        <v>0</v>
      </c>
      <c r="R1563" s="2" t="inlineStr"/>
    </row>
    <row r="1564" ht="15" customHeight="1">
      <c r="A1564" t="inlineStr">
        <is>
          <t>A 27961-2022</t>
        </is>
      </c>
      <c r="B1564" s="1" t="n">
        <v>44744</v>
      </c>
      <c r="C1564" s="1" t="n">
        <v>45962</v>
      </c>
      <c r="D1564" t="inlineStr">
        <is>
          <t>SKÅNE LÄN</t>
        </is>
      </c>
      <c r="E1564" t="inlineStr">
        <is>
          <t>KRISTIANSTAD</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36963-2024</t>
        </is>
      </c>
      <c r="B1565" s="1" t="n">
        <v>45538.76355324074</v>
      </c>
      <c r="C1565" s="1" t="n">
        <v>45962</v>
      </c>
      <c r="D1565" t="inlineStr">
        <is>
          <t>SKÅNE LÄN</t>
        </is>
      </c>
      <c r="E1565" t="inlineStr">
        <is>
          <t>ÖSTRA GÖINGE</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34051-2024</t>
        </is>
      </c>
      <c r="B1566" s="1" t="n">
        <v>45523</v>
      </c>
      <c r="C1566" s="1" t="n">
        <v>45962</v>
      </c>
      <c r="D1566" t="inlineStr">
        <is>
          <t>SKÅNE LÄN</t>
        </is>
      </c>
      <c r="E1566" t="inlineStr">
        <is>
          <t>KLIPPAN</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40184-2022</t>
        </is>
      </c>
      <c r="B1567" s="1" t="n">
        <v>44820.58752314815</v>
      </c>
      <c r="C1567" s="1" t="n">
        <v>45962</v>
      </c>
      <c r="D1567" t="inlineStr">
        <is>
          <t>SKÅNE LÄN</t>
        </is>
      </c>
      <c r="E1567" t="inlineStr">
        <is>
          <t>ÖRKELLJUNGA</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50134-2024</t>
        </is>
      </c>
      <c r="B1568" s="1" t="n">
        <v>45600.44069444444</v>
      </c>
      <c r="C1568" s="1" t="n">
        <v>45962</v>
      </c>
      <c r="D1568" t="inlineStr">
        <is>
          <t>SKÅNE LÄN</t>
        </is>
      </c>
      <c r="E1568" t="inlineStr">
        <is>
          <t>SIMRISHAMN</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31934-2024</t>
        </is>
      </c>
      <c r="B1569" s="1" t="n">
        <v>45510.41177083334</v>
      </c>
      <c r="C1569" s="1" t="n">
        <v>45962</v>
      </c>
      <c r="D1569" t="inlineStr">
        <is>
          <t>SKÅNE LÄN</t>
        </is>
      </c>
      <c r="E1569" t="inlineStr">
        <is>
          <t>HÄSSLEHOLM</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60333-2022</t>
        </is>
      </c>
      <c r="B1570" s="1" t="n">
        <v>44910</v>
      </c>
      <c r="C1570" s="1" t="n">
        <v>45962</v>
      </c>
      <c r="D1570" t="inlineStr">
        <is>
          <t>SKÅNE LÄN</t>
        </is>
      </c>
      <c r="E1570" t="inlineStr">
        <is>
          <t>KRISTIANSTAD</t>
        </is>
      </c>
      <c r="G1570" t="n">
        <v>4.1</v>
      </c>
      <c r="H1570" t="n">
        <v>0</v>
      </c>
      <c r="I1570" t="n">
        <v>0</v>
      </c>
      <c r="J1570" t="n">
        <v>0</v>
      </c>
      <c r="K1570" t="n">
        <v>0</v>
      </c>
      <c r="L1570" t="n">
        <v>0</v>
      </c>
      <c r="M1570" t="n">
        <v>0</v>
      </c>
      <c r="N1570" t="n">
        <v>0</v>
      </c>
      <c r="O1570" t="n">
        <v>0</v>
      </c>
      <c r="P1570" t="n">
        <v>0</v>
      </c>
      <c r="Q1570" t="n">
        <v>0</v>
      </c>
      <c r="R1570" s="2" t="inlineStr"/>
    </row>
    <row r="1571" ht="15" customHeight="1">
      <c r="A1571" t="inlineStr">
        <is>
          <t>A 17731-2025</t>
        </is>
      </c>
      <c r="B1571" s="1" t="n">
        <v>45758</v>
      </c>
      <c r="C1571" s="1" t="n">
        <v>45962</v>
      </c>
      <c r="D1571" t="inlineStr">
        <is>
          <t>SKÅNE LÄN</t>
        </is>
      </c>
      <c r="E1571" t="inlineStr">
        <is>
          <t>SVALÖV</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50564-2023</t>
        </is>
      </c>
      <c r="B1572" s="1" t="n">
        <v>45217.37957175926</v>
      </c>
      <c r="C1572" s="1" t="n">
        <v>45962</v>
      </c>
      <c r="D1572" t="inlineStr">
        <is>
          <t>SKÅNE LÄN</t>
        </is>
      </c>
      <c r="E1572" t="inlineStr">
        <is>
          <t>HÄSSLEHOLM</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8858-2025</t>
        </is>
      </c>
      <c r="B1573" s="1" t="n">
        <v>45713</v>
      </c>
      <c r="C1573" s="1" t="n">
        <v>45962</v>
      </c>
      <c r="D1573" t="inlineStr">
        <is>
          <t>SKÅNE LÄN</t>
        </is>
      </c>
      <c r="E1573" t="inlineStr">
        <is>
          <t>SJÖBO</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8862-2025</t>
        </is>
      </c>
      <c r="B1574" s="1" t="n">
        <v>45713</v>
      </c>
      <c r="C1574" s="1" t="n">
        <v>45962</v>
      </c>
      <c r="D1574" t="inlineStr">
        <is>
          <t>SKÅNE LÄN</t>
        </is>
      </c>
      <c r="E1574" t="inlineStr">
        <is>
          <t>SJÖBO</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524-2024</t>
        </is>
      </c>
      <c r="B1575" s="1" t="n">
        <v>45299</v>
      </c>
      <c r="C1575" s="1" t="n">
        <v>45962</v>
      </c>
      <c r="D1575" t="inlineStr">
        <is>
          <t>SKÅNE LÄN</t>
        </is>
      </c>
      <c r="E1575" t="inlineStr">
        <is>
          <t>HÄSSLEHOLM</t>
        </is>
      </c>
      <c r="G1575" t="n">
        <v>29.4</v>
      </c>
      <c r="H1575" t="n">
        <v>0</v>
      </c>
      <c r="I1575" t="n">
        <v>0</v>
      </c>
      <c r="J1575" t="n">
        <v>0</v>
      </c>
      <c r="K1575" t="n">
        <v>0</v>
      </c>
      <c r="L1575" t="n">
        <v>0</v>
      </c>
      <c r="M1575" t="n">
        <v>0</v>
      </c>
      <c r="N1575" t="n">
        <v>0</v>
      </c>
      <c r="O1575" t="n">
        <v>0</v>
      </c>
      <c r="P1575" t="n">
        <v>0</v>
      </c>
      <c r="Q1575" t="n">
        <v>0</v>
      </c>
      <c r="R1575" s="2" t="inlineStr"/>
    </row>
    <row r="1576" ht="15" customHeight="1">
      <c r="A1576" t="inlineStr">
        <is>
          <t>A 11780-2023</t>
        </is>
      </c>
      <c r="B1576" s="1" t="n">
        <v>44994.6522337963</v>
      </c>
      <c r="C1576" s="1" t="n">
        <v>45962</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7661-2025</t>
        </is>
      </c>
      <c r="B1577" s="1" t="n">
        <v>45706</v>
      </c>
      <c r="C1577" s="1" t="n">
        <v>45962</v>
      </c>
      <c r="D1577" t="inlineStr">
        <is>
          <t>SKÅNE LÄN</t>
        </is>
      </c>
      <c r="E1577" t="inlineStr">
        <is>
          <t>KLIPPAN</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43479-2023</t>
        </is>
      </c>
      <c r="B1578" s="1" t="n">
        <v>45184</v>
      </c>
      <c r="C1578" s="1" t="n">
        <v>45962</v>
      </c>
      <c r="D1578" t="inlineStr">
        <is>
          <t>SKÅNE LÄN</t>
        </is>
      </c>
      <c r="E1578" t="inlineStr">
        <is>
          <t>ÖSTRA GÖINGE</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3367-2024</t>
        </is>
      </c>
      <c r="B1579" s="1" t="n">
        <v>45317</v>
      </c>
      <c r="C1579" s="1" t="n">
        <v>45962</v>
      </c>
      <c r="D1579" t="inlineStr">
        <is>
          <t>SKÅNE LÄN</t>
        </is>
      </c>
      <c r="E1579" t="inlineStr">
        <is>
          <t>SIMRISHAMN</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43061-2024</t>
        </is>
      </c>
      <c r="B1580" s="1" t="n">
        <v>45567</v>
      </c>
      <c r="C1580" s="1" t="n">
        <v>45962</v>
      </c>
      <c r="D1580" t="inlineStr">
        <is>
          <t>SKÅNE LÄN</t>
        </is>
      </c>
      <c r="E1580" t="inlineStr">
        <is>
          <t>HÄSSLEHOLM</t>
        </is>
      </c>
      <c r="G1580" t="n">
        <v>4.5</v>
      </c>
      <c r="H1580" t="n">
        <v>0</v>
      </c>
      <c r="I1580" t="n">
        <v>0</v>
      </c>
      <c r="J1580" t="n">
        <v>0</v>
      </c>
      <c r="K1580" t="n">
        <v>0</v>
      </c>
      <c r="L1580" t="n">
        <v>0</v>
      </c>
      <c r="M1580" t="n">
        <v>0</v>
      </c>
      <c r="N1580" t="n">
        <v>0</v>
      </c>
      <c r="O1580" t="n">
        <v>0</v>
      </c>
      <c r="P1580" t="n">
        <v>0</v>
      </c>
      <c r="Q1580" t="n">
        <v>0</v>
      </c>
      <c r="R1580" s="2" t="inlineStr"/>
    </row>
    <row r="1581" ht="15" customHeight="1">
      <c r="A1581" t="inlineStr">
        <is>
          <t>A 15305-2025</t>
        </is>
      </c>
      <c r="B1581" s="1" t="n">
        <v>45746</v>
      </c>
      <c r="C1581" s="1" t="n">
        <v>45962</v>
      </c>
      <c r="D1581" t="inlineStr">
        <is>
          <t>SKÅNE LÄN</t>
        </is>
      </c>
      <c r="E1581" t="inlineStr">
        <is>
          <t>TOMELILLA</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46432-2023</t>
        </is>
      </c>
      <c r="B1582" s="1" t="n">
        <v>45197.57471064815</v>
      </c>
      <c r="C1582" s="1" t="n">
        <v>45962</v>
      </c>
      <c r="D1582" t="inlineStr">
        <is>
          <t>SKÅNE LÄN</t>
        </is>
      </c>
      <c r="E1582" t="inlineStr">
        <is>
          <t>OSBY</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30852-2021</t>
        </is>
      </c>
      <c r="B1583" s="1" t="n">
        <v>44365</v>
      </c>
      <c r="C1583" s="1" t="n">
        <v>45962</v>
      </c>
      <c r="D1583" t="inlineStr">
        <is>
          <t>SKÅNE LÄN</t>
        </is>
      </c>
      <c r="E1583" t="inlineStr">
        <is>
          <t>KLIPPAN</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44646-2023</t>
        </is>
      </c>
      <c r="B1584" s="1" t="n">
        <v>45189</v>
      </c>
      <c r="C1584" s="1" t="n">
        <v>45962</v>
      </c>
      <c r="D1584" t="inlineStr">
        <is>
          <t>SKÅNE LÄN</t>
        </is>
      </c>
      <c r="E1584" t="inlineStr">
        <is>
          <t>LUND</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941-2023</t>
        </is>
      </c>
      <c r="B1585" s="1" t="n">
        <v>44933</v>
      </c>
      <c r="C1585" s="1" t="n">
        <v>45962</v>
      </c>
      <c r="D1585" t="inlineStr">
        <is>
          <t>SKÅNE LÄN</t>
        </is>
      </c>
      <c r="E1585" t="inlineStr">
        <is>
          <t>KRISTIANSTAD</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69384-2021</t>
        </is>
      </c>
      <c r="B1586" s="1" t="n">
        <v>44531</v>
      </c>
      <c r="C1586" s="1" t="n">
        <v>45962</v>
      </c>
      <c r="D1586" t="inlineStr">
        <is>
          <t>SKÅNE LÄN</t>
        </is>
      </c>
      <c r="E1586" t="inlineStr">
        <is>
          <t>ÖSTRA GÖINGE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61018-2023</t>
        </is>
      </c>
      <c r="B1587" s="1" t="n">
        <v>45259</v>
      </c>
      <c r="C1587" s="1" t="n">
        <v>45962</v>
      </c>
      <c r="D1587" t="inlineStr">
        <is>
          <t>SKÅNE LÄN</t>
        </is>
      </c>
      <c r="E1587" t="inlineStr">
        <is>
          <t>OSBY</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14307-2023</t>
        </is>
      </c>
      <c r="B1588" s="1" t="n">
        <v>45011</v>
      </c>
      <c r="C1588" s="1" t="n">
        <v>45962</v>
      </c>
      <c r="D1588" t="inlineStr">
        <is>
          <t>SKÅNE LÄN</t>
        </is>
      </c>
      <c r="E1588" t="inlineStr">
        <is>
          <t>OSBY</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8160-2024</t>
        </is>
      </c>
      <c r="B1589" s="1" t="n">
        <v>45351</v>
      </c>
      <c r="C1589" s="1" t="n">
        <v>45962</v>
      </c>
      <c r="D1589" t="inlineStr">
        <is>
          <t>SKÅNE LÄN</t>
        </is>
      </c>
      <c r="E1589" t="inlineStr">
        <is>
          <t>HÄSSLEHOLM</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14543-2024</t>
        </is>
      </c>
      <c r="B1590" s="1" t="n">
        <v>45394</v>
      </c>
      <c r="C1590" s="1" t="n">
        <v>45962</v>
      </c>
      <c r="D1590" t="inlineStr">
        <is>
          <t>SKÅNE LÄN</t>
        </is>
      </c>
      <c r="E1590" t="inlineStr">
        <is>
          <t>SVALÖV</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8500-2025</t>
        </is>
      </c>
      <c r="B1591" s="1" t="n">
        <v>45709.52055555556</v>
      </c>
      <c r="C1591" s="1" t="n">
        <v>45962</v>
      </c>
      <c r="D1591" t="inlineStr">
        <is>
          <t>SKÅNE LÄN</t>
        </is>
      </c>
      <c r="E1591" t="inlineStr">
        <is>
          <t>OSBY</t>
        </is>
      </c>
      <c r="F1591" t="inlineStr">
        <is>
          <t>Kommuner</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12965-2024</t>
        </is>
      </c>
      <c r="B1592" s="1" t="n">
        <v>45385</v>
      </c>
      <c r="C1592" s="1" t="n">
        <v>45962</v>
      </c>
      <c r="D1592" t="inlineStr">
        <is>
          <t>SKÅNE LÄN</t>
        </is>
      </c>
      <c r="E1592" t="inlineStr">
        <is>
          <t>SJÖBO</t>
        </is>
      </c>
      <c r="F1592" t="inlineStr">
        <is>
          <t>Övriga Aktiebolag</t>
        </is>
      </c>
      <c r="G1592" t="n">
        <v>3.8</v>
      </c>
      <c r="H1592" t="n">
        <v>0</v>
      </c>
      <c r="I1592" t="n">
        <v>0</v>
      </c>
      <c r="J1592" t="n">
        <v>0</v>
      </c>
      <c r="K1592" t="n">
        <v>0</v>
      </c>
      <c r="L1592" t="n">
        <v>0</v>
      </c>
      <c r="M1592" t="n">
        <v>0</v>
      </c>
      <c r="N1592" t="n">
        <v>0</v>
      </c>
      <c r="O1592" t="n">
        <v>0</v>
      </c>
      <c r="P1592" t="n">
        <v>0</v>
      </c>
      <c r="Q1592" t="n">
        <v>0</v>
      </c>
      <c r="R1592" s="2" t="inlineStr"/>
    </row>
    <row r="1593" ht="15" customHeight="1">
      <c r="A1593" t="inlineStr">
        <is>
          <t>A 55158-2023</t>
        </is>
      </c>
      <c r="B1593" s="1" t="n">
        <v>45237</v>
      </c>
      <c r="C1593" s="1" t="n">
        <v>45962</v>
      </c>
      <c r="D1593" t="inlineStr">
        <is>
          <t>SKÅNE LÄN</t>
        </is>
      </c>
      <c r="E1593" t="inlineStr">
        <is>
          <t>LUND</t>
        </is>
      </c>
      <c r="F1593" t="inlineStr">
        <is>
          <t>Kommuner</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60813-2023</t>
        </is>
      </c>
      <c r="B1594" s="1" t="n">
        <v>45260</v>
      </c>
      <c r="C1594" s="1" t="n">
        <v>45962</v>
      </c>
      <c r="D1594" t="inlineStr">
        <is>
          <t>SKÅNE LÄN</t>
        </is>
      </c>
      <c r="E1594" t="inlineStr">
        <is>
          <t>TOMELILLA</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60815-2023</t>
        </is>
      </c>
      <c r="B1595" s="1" t="n">
        <v>45260.71196759259</v>
      </c>
      <c r="C1595" s="1" t="n">
        <v>45962</v>
      </c>
      <c r="D1595" t="inlineStr">
        <is>
          <t>SKÅNE LÄN</t>
        </is>
      </c>
      <c r="E1595" t="inlineStr">
        <is>
          <t>TOMELILLA</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60817-2023</t>
        </is>
      </c>
      <c r="B1596" s="1" t="n">
        <v>45260.71628472222</v>
      </c>
      <c r="C1596" s="1" t="n">
        <v>45962</v>
      </c>
      <c r="D1596" t="inlineStr">
        <is>
          <t>SKÅNE LÄN</t>
        </is>
      </c>
      <c r="E1596" t="inlineStr">
        <is>
          <t>TOMELILLA</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58509-2020</t>
        </is>
      </c>
      <c r="B1597" s="1" t="n">
        <v>44144</v>
      </c>
      <c r="C1597" s="1" t="n">
        <v>45962</v>
      </c>
      <c r="D1597" t="inlineStr">
        <is>
          <t>SKÅNE LÄN</t>
        </is>
      </c>
      <c r="E1597" t="inlineStr">
        <is>
          <t>HÄSSLEHOLM</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9716-2022</t>
        </is>
      </c>
      <c r="B1598" s="1" t="n">
        <v>44617</v>
      </c>
      <c r="C1598" s="1" t="n">
        <v>45962</v>
      </c>
      <c r="D1598" t="inlineStr">
        <is>
          <t>SKÅNE LÄN</t>
        </is>
      </c>
      <c r="E1598" t="inlineStr">
        <is>
          <t>SVALÖV</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53003-2024</t>
        </is>
      </c>
      <c r="B1599" s="1" t="n">
        <v>45610</v>
      </c>
      <c r="C1599" s="1" t="n">
        <v>45962</v>
      </c>
      <c r="D1599" t="inlineStr">
        <is>
          <t>SKÅNE LÄN</t>
        </is>
      </c>
      <c r="E1599" t="inlineStr">
        <is>
          <t>OSBY</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9394-2025</t>
        </is>
      </c>
      <c r="B1600" s="1" t="n">
        <v>45715.36387731481</v>
      </c>
      <c r="C1600" s="1" t="n">
        <v>45962</v>
      </c>
      <c r="D1600" t="inlineStr">
        <is>
          <t>SKÅNE LÄN</t>
        </is>
      </c>
      <c r="E1600" t="inlineStr">
        <is>
          <t>HÄSSLEHOLM</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57928-2020</t>
        </is>
      </c>
      <c r="B1601" s="1" t="n">
        <v>44141</v>
      </c>
      <c r="C1601" s="1" t="n">
        <v>45962</v>
      </c>
      <c r="D1601" t="inlineStr">
        <is>
          <t>SKÅNE LÄN</t>
        </is>
      </c>
      <c r="E1601" t="inlineStr">
        <is>
          <t>KRISTIANSTAD</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9773-2024</t>
        </is>
      </c>
      <c r="B1602" s="1" t="n">
        <v>45362</v>
      </c>
      <c r="C1602" s="1" t="n">
        <v>45962</v>
      </c>
      <c r="D1602" t="inlineStr">
        <is>
          <t>SKÅNE LÄN</t>
        </is>
      </c>
      <c r="E1602" t="inlineStr">
        <is>
          <t>ÖRKELLJUNGA</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54171-2021</t>
        </is>
      </c>
      <c r="B1603" s="1" t="n">
        <v>44470</v>
      </c>
      <c r="C1603" s="1" t="n">
        <v>45962</v>
      </c>
      <c r="D1603" t="inlineStr">
        <is>
          <t>SKÅNE LÄN</t>
        </is>
      </c>
      <c r="E1603" t="inlineStr">
        <is>
          <t>HÄSSLEHOLM</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16382-2025</t>
        </is>
      </c>
      <c r="B1604" s="1" t="n">
        <v>45751.41636574074</v>
      </c>
      <c r="C1604" s="1" t="n">
        <v>45962</v>
      </c>
      <c r="D1604" t="inlineStr">
        <is>
          <t>SKÅNE LÄN</t>
        </is>
      </c>
      <c r="E1604" t="inlineStr">
        <is>
          <t>ÖSTRA GÖINGE</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18327-2025</t>
        </is>
      </c>
      <c r="B1605" s="1" t="n">
        <v>45762</v>
      </c>
      <c r="C1605" s="1" t="n">
        <v>45962</v>
      </c>
      <c r="D1605" t="inlineStr">
        <is>
          <t>SKÅNE LÄN</t>
        </is>
      </c>
      <c r="E1605" t="inlineStr">
        <is>
          <t>BÅSTAD</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64181-2023</t>
        </is>
      </c>
      <c r="B1606" s="1" t="n">
        <v>45279</v>
      </c>
      <c r="C1606" s="1" t="n">
        <v>45962</v>
      </c>
      <c r="D1606" t="inlineStr">
        <is>
          <t>SKÅNE LÄN</t>
        </is>
      </c>
      <c r="E1606" t="inlineStr">
        <is>
          <t>ÖSTRA GÖINGE</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17925-2024</t>
        </is>
      </c>
      <c r="B1607" s="1" t="n">
        <v>45419</v>
      </c>
      <c r="C1607" s="1" t="n">
        <v>45962</v>
      </c>
      <c r="D1607" t="inlineStr">
        <is>
          <t>SKÅNE LÄN</t>
        </is>
      </c>
      <c r="E1607" t="inlineStr">
        <is>
          <t>KRISTIANSTAD</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18744-2025</t>
        </is>
      </c>
      <c r="B1608" s="1" t="n">
        <v>45763.75098379629</v>
      </c>
      <c r="C1608" s="1" t="n">
        <v>45962</v>
      </c>
      <c r="D1608" t="inlineStr">
        <is>
          <t>SKÅNE LÄN</t>
        </is>
      </c>
      <c r="E1608" t="inlineStr">
        <is>
          <t>KRISTIANSTAD</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59429-2023</t>
        </is>
      </c>
      <c r="B1609" s="1" t="n">
        <v>45254.2875</v>
      </c>
      <c r="C1609" s="1" t="n">
        <v>45962</v>
      </c>
      <c r="D1609" t="inlineStr">
        <is>
          <t>SKÅNE LÄN</t>
        </is>
      </c>
      <c r="E1609" t="inlineStr">
        <is>
          <t>HÄSSLEHOLM</t>
        </is>
      </c>
      <c r="G1609" t="n">
        <v>0</v>
      </c>
      <c r="H1609" t="n">
        <v>0</v>
      </c>
      <c r="I1609" t="n">
        <v>0</v>
      </c>
      <c r="J1609" t="n">
        <v>0</v>
      </c>
      <c r="K1609" t="n">
        <v>0</v>
      </c>
      <c r="L1609" t="n">
        <v>0</v>
      </c>
      <c r="M1609" t="n">
        <v>0</v>
      </c>
      <c r="N1609" t="n">
        <v>0</v>
      </c>
      <c r="O1609" t="n">
        <v>0</v>
      </c>
      <c r="P1609" t="n">
        <v>0</v>
      </c>
      <c r="Q1609" t="n">
        <v>0</v>
      </c>
      <c r="R1609" s="2" t="inlineStr"/>
    </row>
    <row r="1610" ht="15" customHeight="1">
      <c r="A1610" t="inlineStr">
        <is>
          <t>A 3183-2023</t>
        </is>
      </c>
      <c r="B1610" s="1" t="n">
        <v>44944</v>
      </c>
      <c r="C1610" s="1" t="n">
        <v>45962</v>
      </c>
      <c r="D1610" t="inlineStr">
        <is>
          <t>SKÅNE LÄN</t>
        </is>
      </c>
      <c r="E1610" t="inlineStr">
        <is>
          <t>KLIPPAN</t>
        </is>
      </c>
      <c r="G1610" t="n">
        <v>6.9</v>
      </c>
      <c r="H1610" t="n">
        <v>0</v>
      </c>
      <c r="I1610" t="n">
        <v>0</v>
      </c>
      <c r="J1610" t="n">
        <v>0</v>
      </c>
      <c r="K1610" t="n">
        <v>0</v>
      </c>
      <c r="L1610" t="n">
        <v>0</v>
      </c>
      <c r="M1610" t="n">
        <v>0</v>
      </c>
      <c r="N1610" t="n">
        <v>0</v>
      </c>
      <c r="O1610" t="n">
        <v>0</v>
      </c>
      <c r="P1610" t="n">
        <v>0</v>
      </c>
      <c r="Q1610" t="n">
        <v>0</v>
      </c>
      <c r="R1610" s="2" t="inlineStr"/>
    </row>
    <row r="1611" ht="15" customHeight="1">
      <c r="A1611" t="inlineStr">
        <is>
          <t>A 24640-2023</t>
        </is>
      </c>
      <c r="B1611" s="1" t="n">
        <v>45084.43181712963</v>
      </c>
      <c r="C1611" s="1" t="n">
        <v>45962</v>
      </c>
      <c r="D1611" t="inlineStr">
        <is>
          <t>SKÅNE LÄN</t>
        </is>
      </c>
      <c r="E1611" t="inlineStr">
        <is>
          <t>HÄSSLEHOLM</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53868-2022</t>
        </is>
      </c>
      <c r="B1612" s="1" t="n">
        <v>44880.64693287037</v>
      </c>
      <c r="C1612" s="1" t="n">
        <v>45962</v>
      </c>
      <c r="D1612" t="inlineStr">
        <is>
          <t>SKÅNE LÄN</t>
        </is>
      </c>
      <c r="E1612" t="inlineStr">
        <is>
          <t>KLIPPAN</t>
        </is>
      </c>
      <c r="G1612" t="n">
        <v>7.6</v>
      </c>
      <c r="H1612" t="n">
        <v>0</v>
      </c>
      <c r="I1612" t="n">
        <v>0</v>
      </c>
      <c r="J1612" t="n">
        <v>0</v>
      </c>
      <c r="K1612" t="n">
        <v>0</v>
      </c>
      <c r="L1612" t="n">
        <v>0</v>
      </c>
      <c r="M1612" t="n">
        <v>0</v>
      </c>
      <c r="N1612" t="n">
        <v>0</v>
      </c>
      <c r="O1612" t="n">
        <v>0</v>
      </c>
      <c r="P1612" t="n">
        <v>0</v>
      </c>
      <c r="Q1612" t="n">
        <v>0</v>
      </c>
      <c r="R1612" s="2" t="inlineStr"/>
    </row>
    <row r="1613" ht="15" customHeight="1">
      <c r="A1613" t="inlineStr">
        <is>
          <t>A 37552-2024</t>
        </is>
      </c>
      <c r="B1613" s="1" t="n">
        <v>45541.43497685185</v>
      </c>
      <c r="C1613" s="1" t="n">
        <v>45962</v>
      </c>
      <c r="D1613" t="inlineStr">
        <is>
          <t>SKÅNE LÄN</t>
        </is>
      </c>
      <c r="E1613" t="inlineStr">
        <is>
          <t>ÖSTRA GÖINGE</t>
        </is>
      </c>
      <c r="G1613" t="n">
        <v>8.1</v>
      </c>
      <c r="H1613" t="n">
        <v>0</v>
      </c>
      <c r="I1613" t="n">
        <v>0</v>
      </c>
      <c r="J1613" t="n">
        <v>0</v>
      </c>
      <c r="K1613" t="n">
        <v>0</v>
      </c>
      <c r="L1613" t="n">
        <v>0</v>
      </c>
      <c r="M1613" t="n">
        <v>0</v>
      </c>
      <c r="N1613" t="n">
        <v>0</v>
      </c>
      <c r="O1613" t="n">
        <v>0</v>
      </c>
      <c r="P1613" t="n">
        <v>0</v>
      </c>
      <c r="Q1613" t="n">
        <v>0</v>
      </c>
      <c r="R1613" s="2" t="inlineStr"/>
    </row>
    <row r="1614" ht="15" customHeight="1">
      <c r="A1614" t="inlineStr">
        <is>
          <t>A 37575-2024</t>
        </is>
      </c>
      <c r="B1614" s="1" t="n">
        <v>45541.45583333333</v>
      </c>
      <c r="C1614" s="1" t="n">
        <v>45962</v>
      </c>
      <c r="D1614" t="inlineStr">
        <is>
          <t>SKÅNE LÄN</t>
        </is>
      </c>
      <c r="E1614" t="inlineStr">
        <is>
          <t>ÖSTRA GÖINGE</t>
        </is>
      </c>
      <c r="G1614" t="n">
        <v>8.6</v>
      </c>
      <c r="H1614" t="n">
        <v>0</v>
      </c>
      <c r="I1614" t="n">
        <v>0</v>
      </c>
      <c r="J1614" t="n">
        <v>0</v>
      </c>
      <c r="K1614" t="n">
        <v>0</v>
      </c>
      <c r="L1614" t="n">
        <v>0</v>
      </c>
      <c r="M1614" t="n">
        <v>0</v>
      </c>
      <c r="N1614" t="n">
        <v>0</v>
      </c>
      <c r="O1614" t="n">
        <v>0</v>
      </c>
      <c r="P1614" t="n">
        <v>0</v>
      </c>
      <c r="Q1614" t="n">
        <v>0</v>
      </c>
      <c r="R1614" s="2" t="inlineStr"/>
    </row>
    <row r="1615" ht="15" customHeight="1">
      <c r="A1615" t="inlineStr">
        <is>
          <t>A 22638-2023</t>
        </is>
      </c>
      <c r="B1615" s="1" t="n">
        <v>45071</v>
      </c>
      <c r="C1615" s="1" t="n">
        <v>45962</v>
      </c>
      <c r="D1615" t="inlineStr">
        <is>
          <t>SKÅNE LÄN</t>
        </is>
      </c>
      <c r="E1615" t="inlineStr">
        <is>
          <t>OSBY</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5950-2024</t>
        </is>
      </c>
      <c r="B1616" s="1" t="n">
        <v>45335</v>
      </c>
      <c r="C1616" s="1" t="n">
        <v>45962</v>
      </c>
      <c r="D1616" t="inlineStr">
        <is>
          <t>SKÅNE LÄN</t>
        </is>
      </c>
      <c r="E1616" t="inlineStr">
        <is>
          <t>KRISTIANSTAD</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39223-2024</t>
        </is>
      </c>
      <c r="B1617" s="1" t="n">
        <v>45550</v>
      </c>
      <c r="C1617" s="1" t="n">
        <v>45962</v>
      </c>
      <c r="D1617" t="inlineStr">
        <is>
          <t>SKÅNE LÄN</t>
        </is>
      </c>
      <c r="E1617" t="inlineStr">
        <is>
          <t>HÄSSLEHOLM</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27297-2023</t>
        </is>
      </c>
      <c r="B1618" s="1" t="n">
        <v>45096</v>
      </c>
      <c r="C1618" s="1" t="n">
        <v>45962</v>
      </c>
      <c r="D1618" t="inlineStr">
        <is>
          <t>SKÅNE LÄN</t>
        </is>
      </c>
      <c r="E1618" t="inlineStr">
        <is>
          <t>HÄSSLEHOLM</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8565-2023</t>
        </is>
      </c>
      <c r="B1619" s="1" t="n">
        <v>44977</v>
      </c>
      <c r="C1619" s="1" t="n">
        <v>45962</v>
      </c>
      <c r="D1619" t="inlineStr">
        <is>
          <t>SKÅNE LÄN</t>
        </is>
      </c>
      <c r="E1619" t="inlineStr">
        <is>
          <t>PERSTORP</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45493-2024</t>
        </is>
      </c>
      <c r="B1620" s="1" t="n">
        <v>45577.78436342593</v>
      </c>
      <c r="C1620" s="1" t="n">
        <v>45962</v>
      </c>
      <c r="D1620" t="inlineStr">
        <is>
          <t>SKÅNE LÄN</t>
        </is>
      </c>
      <c r="E1620" t="inlineStr">
        <is>
          <t>KRISTIANSTAD</t>
        </is>
      </c>
      <c r="G1620" t="n">
        <v>4.5</v>
      </c>
      <c r="H1620" t="n">
        <v>0</v>
      </c>
      <c r="I1620" t="n">
        <v>0</v>
      </c>
      <c r="J1620" t="n">
        <v>0</v>
      </c>
      <c r="K1620" t="n">
        <v>0</v>
      </c>
      <c r="L1620" t="n">
        <v>0</v>
      </c>
      <c r="M1620" t="n">
        <v>0</v>
      </c>
      <c r="N1620" t="n">
        <v>0</v>
      </c>
      <c r="O1620" t="n">
        <v>0</v>
      </c>
      <c r="P1620" t="n">
        <v>0</v>
      </c>
      <c r="Q1620" t="n">
        <v>0</v>
      </c>
      <c r="R1620" s="2" t="inlineStr"/>
    </row>
    <row r="1621" ht="15" customHeight="1">
      <c r="A1621" t="inlineStr">
        <is>
          <t>A 8568-2023</t>
        </is>
      </c>
      <c r="B1621" s="1" t="n">
        <v>44977</v>
      </c>
      <c r="C1621" s="1" t="n">
        <v>45962</v>
      </c>
      <c r="D1621" t="inlineStr">
        <is>
          <t>SKÅNE LÄN</t>
        </is>
      </c>
      <c r="E1621" t="inlineStr">
        <is>
          <t>SJÖBO</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57795-2022</t>
        </is>
      </c>
      <c r="B1622" s="1" t="n">
        <v>44897.66587962963</v>
      </c>
      <c r="C1622" s="1" t="n">
        <v>45962</v>
      </c>
      <c r="D1622" t="inlineStr">
        <is>
          <t>SKÅNE LÄN</t>
        </is>
      </c>
      <c r="E1622" t="inlineStr">
        <is>
          <t>ÖRKELLJUNGA</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45495-2024</t>
        </is>
      </c>
      <c r="B1623" s="1" t="n">
        <v>45577.78920138889</v>
      </c>
      <c r="C1623" s="1" t="n">
        <v>45962</v>
      </c>
      <c r="D1623" t="inlineStr">
        <is>
          <t>SKÅNE LÄN</t>
        </is>
      </c>
      <c r="E1623" t="inlineStr">
        <is>
          <t>KRISTIANSTAD</t>
        </is>
      </c>
      <c r="G1623" t="n">
        <v>9.1</v>
      </c>
      <c r="H1623" t="n">
        <v>0</v>
      </c>
      <c r="I1623" t="n">
        <v>0</v>
      </c>
      <c r="J1623" t="n">
        <v>0</v>
      </c>
      <c r="K1623" t="n">
        <v>0</v>
      </c>
      <c r="L1623" t="n">
        <v>0</v>
      </c>
      <c r="M1623" t="n">
        <v>0</v>
      </c>
      <c r="N1623" t="n">
        <v>0</v>
      </c>
      <c r="O1623" t="n">
        <v>0</v>
      </c>
      <c r="P1623" t="n">
        <v>0</v>
      </c>
      <c r="Q1623" t="n">
        <v>0</v>
      </c>
      <c r="R1623" s="2" t="inlineStr"/>
    </row>
    <row r="1624" ht="15" customHeight="1">
      <c r="A1624" t="inlineStr">
        <is>
          <t>A 51618-2024</t>
        </is>
      </c>
      <c r="B1624" s="1" t="n">
        <v>45604.82615740741</v>
      </c>
      <c r="C1624" s="1" t="n">
        <v>45962</v>
      </c>
      <c r="D1624" t="inlineStr">
        <is>
          <t>SKÅNE LÄN</t>
        </is>
      </c>
      <c r="E1624" t="inlineStr">
        <is>
          <t>HÄSSLEHOLM</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27304-2023</t>
        </is>
      </c>
      <c r="B1625" s="1" t="n">
        <v>45096.65199074074</v>
      </c>
      <c r="C1625" s="1" t="n">
        <v>45962</v>
      </c>
      <c r="D1625" t="inlineStr">
        <is>
          <t>SKÅNE LÄN</t>
        </is>
      </c>
      <c r="E1625" t="inlineStr">
        <is>
          <t>HÄSSLEHOLM</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50279-2023</t>
        </is>
      </c>
      <c r="B1626" s="1" t="n">
        <v>45216.44960648148</v>
      </c>
      <c r="C1626" s="1" t="n">
        <v>45962</v>
      </c>
      <c r="D1626" t="inlineStr">
        <is>
          <t>SKÅNE LÄN</t>
        </is>
      </c>
      <c r="E1626" t="inlineStr">
        <is>
          <t>ÖRKELLJUNGA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63720-2023</t>
        </is>
      </c>
      <c r="B1627" s="1" t="n">
        <v>45275</v>
      </c>
      <c r="C1627" s="1" t="n">
        <v>45962</v>
      </c>
      <c r="D1627" t="inlineStr">
        <is>
          <t>SKÅNE LÄN</t>
        </is>
      </c>
      <c r="E1627" t="inlineStr">
        <is>
          <t>KLIPPAN</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22693-2022</t>
        </is>
      </c>
      <c r="B1628" s="1" t="n">
        <v>44714.54729166667</v>
      </c>
      <c r="C1628" s="1" t="n">
        <v>45962</v>
      </c>
      <c r="D1628" t="inlineStr">
        <is>
          <t>SKÅNE LÄN</t>
        </is>
      </c>
      <c r="E1628" t="inlineStr">
        <is>
          <t>HÄSSLEHOLM</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47612-2023</t>
        </is>
      </c>
      <c r="B1629" s="1" t="n">
        <v>45203</v>
      </c>
      <c r="C1629" s="1" t="n">
        <v>45962</v>
      </c>
      <c r="D1629" t="inlineStr">
        <is>
          <t>SKÅNE LÄN</t>
        </is>
      </c>
      <c r="E1629" t="inlineStr">
        <is>
          <t>HÖRBY</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60959-2022</t>
        </is>
      </c>
      <c r="B1630" s="1" t="n">
        <v>44914.64777777778</v>
      </c>
      <c r="C1630" s="1" t="n">
        <v>45962</v>
      </c>
      <c r="D1630" t="inlineStr">
        <is>
          <t>SKÅNE LÄN</t>
        </is>
      </c>
      <c r="E1630" t="inlineStr">
        <is>
          <t>HÄSSLEHOLM</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42692-2022</t>
        </is>
      </c>
      <c r="B1631" s="1" t="n">
        <v>44832</v>
      </c>
      <c r="C1631" s="1" t="n">
        <v>45962</v>
      </c>
      <c r="D1631" t="inlineStr">
        <is>
          <t>SKÅNE LÄN</t>
        </is>
      </c>
      <c r="E1631" t="inlineStr">
        <is>
          <t>HÖÖR</t>
        </is>
      </c>
      <c r="G1631" t="n">
        <v>5.8</v>
      </c>
      <c r="H1631" t="n">
        <v>0</v>
      </c>
      <c r="I1631" t="n">
        <v>0</v>
      </c>
      <c r="J1631" t="n">
        <v>0</v>
      </c>
      <c r="K1631" t="n">
        <v>0</v>
      </c>
      <c r="L1631" t="n">
        <v>0</v>
      </c>
      <c r="M1631" t="n">
        <v>0</v>
      </c>
      <c r="N1631" t="n">
        <v>0</v>
      </c>
      <c r="O1631" t="n">
        <v>0</v>
      </c>
      <c r="P1631" t="n">
        <v>0</v>
      </c>
      <c r="Q1631" t="n">
        <v>0</v>
      </c>
      <c r="R1631" s="2" t="inlineStr"/>
    </row>
    <row r="1632" ht="15" customHeight="1">
      <c r="A1632" t="inlineStr">
        <is>
          <t>A 13754-2025</t>
        </is>
      </c>
      <c r="B1632" s="1" t="n">
        <v>45737.41474537037</v>
      </c>
      <c r="C1632" s="1" t="n">
        <v>45962</v>
      </c>
      <c r="D1632" t="inlineStr">
        <is>
          <t>SKÅNE LÄN</t>
        </is>
      </c>
      <c r="E1632" t="inlineStr">
        <is>
          <t>OSBY</t>
        </is>
      </c>
      <c r="F1632" t="inlineStr">
        <is>
          <t>Sveaskog</t>
        </is>
      </c>
      <c r="G1632" t="n">
        <v>6.4</v>
      </c>
      <c r="H1632" t="n">
        <v>0</v>
      </c>
      <c r="I1632" t="n">
        <v>0</v>
      </c>
      <c r="J1632" t="n">
        <v>0</v>
      </c>
      <c r="K1632" t="n">
        <v>0</v>
      </c>
      <c r="L1632" t="n">
        <v>0</v>
      </c>
      <c r="M1632" t="n">
        <v>0</v>
      </c>
      <c r="N1632" t="n">
        <v>0</v>
      </c>
      <c r="O1632" t="n">
        <v>0</v>
      </c>
      <c r="P1632" t="n">
        <v>0</v>
      </c>
      <c r="Q1632" t="n">
        <v>0</v>
      </c>
      <c r="R1632" s="2" t="inlineStr"/>
    </row>
    <row r="1633" ht="15" customHeight="1">
      <c r="A1633" t="inlineStr">
        <is>
          <t>A 5927-2023</t>
        </is>
      </c>
      <c r="B1633" s="1" t="n">
        <v>44963</v>
      </c>
      <c r="C1633" s="1" t="n">
        <v>45962</v>
      </c>
      <c r="D1633" t="inlineStr">
        <is>
          <t>SKÅNE LÄN</t>
        </is>
      </c>
      <c r="E1633" t="inlineStr">
        <is>
          <t>ÖRKELLJUNGA</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1468-2022</t>
        </is>
      </c>
      <c r="B1634" s="1" t="n">
        <v>44573</v>
      </c>
      <c r="C1634" s="1" t="n">
        <v>45962</v>
      </c>
      <c r="D1634" t="inlineStr">
        <is>
          <t>SKÅNE LÄN</t>
        </is>
      </c>
      <c r="E1634" t="inlineStr">
        <is>
          <t>KÄVLINGE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25393-2023</t>
        </is>
      </c>
      <c r="B1635" s="1" t="n">
        <v>45079</v>
      </c>
      <c r="C1635" s="1" t="n">
        <v>45962</v>
      </c>
      <c r="D1635" t="inlineStr">
        <is>
          <t>SKÅNE LÄN</t>
        </is>
      </c>
      <c r="E1635" t="inlineStr">
        <is>
          <t>KLIPPAN</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52876-2024</t>
        </is>
      </c>
      <c r="B1636" s="1" t="n">
        <v>45610.6337037037</v>
      </c>
      <c r="C1636" s="1" t="n">
        <v>45962</v>
      </c>
      <c r="D1636" t="inlineStr">
        <is>
          <t>SKÅNE LÄN</t>
        </is>
      </c>
      <c r="E1636" t="inlineStr">
        <is>
          <t>ÖRKELLJUNGA</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48965-2023</t>
        </is>
      </c>
      <c r="B1637" s="1" t="n">
        <v>45209</v>
      </c>
      <c r="C1637" s="1" t="n">
        <v>45962</v>
      </c>
      <c r="D1637" t="inlineStr">
        <is>
          <t>SKÅNE LÄN</t>
        </is>
      </c>
      <c r="E1637" t="inlineStr">
        <is>
          <t>KLIPPAN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37592-2024</t>
        </is>
      </c>
      <c r="B1638" s="1" t="n">
        <v>45541.47113425926</v>
      </c>
      <c r="C1638" s="1" t="n">
        <v>45962</v>
      </c>
      <c r="D1638" t="inlineStr">
        <is>
          <t>SKÅNE LÄN</t>
        </is>
      </c>
      <c r="E1638" t="inlineStr">
        <is>
          <t>ÖSTRA GÖINGE</t>
        </is>
      </c>
      <c r="G1638" t="n">
        <v>4.1</v>
      </c>
      <c r="H1638" t="n">
        <v>0</v>
      </c>
      <c r="I1638" t="n">
        <v>0</v>
      </c>
      <c r="J1638" t="n">
        <v>0</v>
      </c>
      <c r="K1638" t="n">
        <v>0</v>
      </c>
      <c r="L1638" t="n">
        <v>0</v>
      </c>
      <c r="M1638" t="n">
        <v>0</v>
      </c>
      <c r="N1638" t="n">
        <v>0</v>
      </c>
      <c r="O1638" t="n">
        <v>0</v>
      </c>
      <c r="P1638" t="n">
        <v>0</v>
      </c>
      <c r="Q1638" t="n">
        <v>0</v>
      </c>
      <c r="R1638" s="2" t="inlineStr"/>
    </row>
    <row r="1639" ht="15" customHeight="1">
      <c r="A1639" t="inlineStr">
        <is>
          <t>A 14278-2024</t>
        </is>
      </c>
      <c r="B1639" s="1" t="n">
        <v>45393.60961805555</v>
      </c>
      <c r="C1639" s="1" t="n">
        <v>45962</v>
      </c>
      <c r="D1639" t="inlineStr">
        <is>
          <t>SKÅNE LÄN</t>
        </is>
      </c>
      <c r="E1639" t="inlineStr">
        <is>
          <t>KLIPPAN</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1833-2024</t>
        </is>
      </c>
      <c r="B1640" s="1" t="n">
        <v>45307</v>
      </c>
      <c r="C1640" s="1" t="n">
        <v>45962</v>
      </c>
      <c r="D1640" t="inlineStr">
        <is>
          <t>SKÅNE LÄN</t>
        </is>
      </c>
      <c r="E1640" t="inlineStr">
        <is>
          <t>KRISTIANSTAD</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1837-2024</t>
        </is>
      </c>
      <c r="B1641" s="1" t="n">
        <v>45307</v>
      </c>
      <c r="C1641" s="1" t="n">
        <v>45962</v>
      </c>
      <c r="D1641" t="inlineStr">
        <is>
          <t>SKÅNE LÄN</t>
        </is>
      </c>
      <c r="E1641" t="inlineStr">
        <is>
          <t>ÖSTRA GÖINGE</t>
        </is>
      </c>
      <c r="G1641" t="n">
        <v>4.4</v>
      </c>
      <c r="H1641" t="n">
        <v>0</v>
      </c>
      <c r="I1641" t="n">
        <v>0</v>
      </c>
      <c r="J1641" t="n">
        <v>0</v>
      </c>
      <c r="K1641" t="n">
        <v>0</v>
      </c>
      <c r="L1641" t="n">
        <v>0</v>
      </c>
      <c r="M1641" t="n">
        <v>0</v>
      </c>
      <c r="N1641" t="n">
        <v>0</v>
      </c>
      <c r="O1641" t="n">
        <v>0</v>
      </c>
      <c r="P1641" t="n">
        <v>0</v>
      </c>
      <c r="Q1641" t="n">
        <v>0</v>
      </c>
      <c r="R1641" s="2" t="inlineStr"/>
    </row>
    <row r="1642" ht="15" customHeight="1">
      <c r="A1642" t="inlineStr">
        <is>
          <t>A 6558-2025</t>
        </is>
      </c>
      <c r="B1642" s="1" t="n">
        <v>45699</v>
      </c>
      <c r="C1642" s="1" t="n">
        <v>45962</v>
      </c>
      <c r="D1642" t="inlineStr">
        <is>
          <t>SKÅNE LÄN</t>
        </is>
      </c>
      <c r="E1642" t="inlineStr">
        <is>
          <t>HÖRBY</t>
        </is>
      </c>
      <c r="F1642" t="inlineStr">
        <is>
          <t>Kommuner</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46772-2023</t>
        </is>
      </c>
      <c r="B1643" s="1" t="n">
        <v>45198</v>
      </c>
      <c r="C1643" s="1" t="n">
        <v>45962</v>
      </c>
      <c r="D1643" t="inlineStr">
        <is>
          <t>SKÅNE LÄN</t>
        </is>
      </c>
      <c r="E1643" t="inlineStr">
        <is>
          <t>KRISTIANSTAD</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42906-2022</t>
        </is>
      </c>
      <c r="B1644" s="1" t="n">
        <v>44833</v>
      </c>
      <c r="C1644" s="1" t="n">
        <v>45962</v>
      </c>
      <c r="D1644" t="inlineStr">
        <is>
          <t>SKÅNE LÄN</t>
        </is>
      </c>
      <c r="E1644" t="inlineStr">
        <is>
          <t>HÄSSLEHOLM</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70933-2021</t>
        </is>
      </c>
      <c r="B1645" s="1" t="n">
        <v>44538</v>
      </c>
      <c r="C1645" s="1" t="n">
        <v>45962</v>
      </c>
      <c r="D1645" t="inlineStr">
        <is>
          <t>SKÅNE LÄN</t>
        </is>
      </c>
      <c r="E1645" t="inlineStr">
        <is>
          <t>SJÖBO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12079-2024</t>
        </is>
      </c>
      <c r="B1646" s="1" t="n">
        <v>45377.54229166666</v>
      </c>
      <c r="C1646" s="1" t="n">
        <v>45962</v>
      </c>
      <c r="D1646" t="inlineStr">
        <is>
          <t>SKÅNE LÄN</t>
        </is>
      </c>
      <c r="E1646" t="inlineStr">
        <is>
          <t>ESLÖV</t>
        </is>
      </c>
      <c r="G1646" t="n">
        <v>6.9</v>
      </c>
      <c r="H1646" t="n">
        <v>0</v>
      </c>
      <c r="I1646" t="n">
        <v>0</v>
      </c>
      <c r="J1646" t="n">
        <v>0</v>
      </c>
      <c r="K1646" t="n">
        <v>0</v>
      </c>
      <c r="L1646" t="n">
        <v>0</v>
      </c>
      <c r="M1646" t="n">
        <v>0</v>
      </c>
      <c r="N1646" t="n">
        <v>0</v>
      </c>
      <c r="O1646" t="n">
        <v>0</v>
      </c>
      <c r="P1646" t="n">
        <v>0</v>
      </c>
      <c r="Q1646" t="n">
        <v>0</v>
      </c>
      <c r="R1646" s="2" t="inlineStr"/>
    </row>
    <row r="1647" ht="15" customHeight="1">
      <c r="A1647" t="inlineStr">
        <is>
          <t>A 58150-2024</t>
        </is>
      </c>
      <c r="B1647" s="1" t="n">
        <v>45632.43736111111</v>
      </c>
      <c r="C1647" s="1" t="n">
        <v>45962</v>
      </c>
      <c r="D1647" t="inlineStr">
        <is>
          <t>SKÅNE LÄN</t>
        </is>
      </c>
      <c r="E1647" t="inlineStr">
        <is>
          <t>ÄNGELHOLM</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4191-2023</t>
        </is>
      </c>
      <c r="B1648" s="1" t="n">
        <v>44953.42472222223</v>
      </c>
      <c r="C1648" s="1" t="n">
        <v>45962</v>
      </c>
      <c r="D1648" t="inlineStr">
        <is>
          <t>SKÅNE LÄN</t>
        </is>
      </c>
      <c r="E1648" t="inlineStr">
        <is>
          <t>ÖSTRA GÖINGE</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566-2024</t>
        </is>
      </c>
      <c r="B1649" s="1" t="n">
        <v>45299</v>
      </c>
      <c r="C1649" s="1" t="n">
        <v>45962</v>
      </c>
      <c r="D1649" t="inlineStr">
        <is>
          <t>SKÅNE LÄN</t>
        </is>
      </c>
      <c r="E1649" t="inlineStr">
        <is>
          <t>TOMELILLA</t>
        </is>
      </c>
      <c r="F1649" t="inlineStr">
        <is>
          <t>Övriga Aktiebolag</t>
        </is>
      </c>
      <c r="G1649" t="n">
        <v>5.7</v>
      </c>
      <c r="H1649" t="n">
        <v>0</v>
      </c>
      <c r="I1649" t="n">
        <v>0</v>
      </c>
      <c r="J1649" t="n">
        <v>0</v>
      </c>
      <c r="K1649" t="n">
        <v>0</v>
      </c>
      <c r="L1649" t="n">
        <v>0</v>
      </c>
      <c r="M1649" t="n">
        <v>0</v>
      </c>
      <c r="N1649" t="n">
        <v>0</v>
      </c>
      <c r="O1649" t="n">
        <v>0</v>
      </c>
      <c r="P1649" t="n">
        <v>0</v>
      </c>
      <c r="Q1649" t="n">
        <v>0</v>
      </c>
      <c r="R1649" s="2" t="inlineStr"/>
    </row>
    <row r="1650" ht="15" customHeight="1">
      <c r="A1650" t="inlineStr">
        <is>
          <t>A 9270-2022</t>
        </is>
      </c>
      <c r="B1650" s="1" t="n">
        <v>44616</v>
      </c>
      <c r="C1650" s="1" t="n">
        <v>45962</v>
      </c>
      <c r="D1650" t="inlineStr">
        <is>
          <t>SKÅNE LÄN</t>
        </is>
      </c>
      <c r="E1650" t="inlineStr">
        <is>
          <t>KLIPPAN</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1152-2025</t>
        </is>
      </c>
      <c r="B1651" s="1" t="n">
        <v>45666.74427083333</v>
      </c>
      <c r="C1651" s="1" t="n">
        <v>45962</v>
      </c>
      <c r="D1651" t="inlineStr">
        <is>
          <t>SKÅNE LÄN</t>
        </is>
      </c>
      <c r="E1651" t="inlineStr">
        <is>
          <t>OSBY</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55389-2023</t>
        </is>
      </c>
      <c r="B1652" s="1" t="n">
        <v>45238</v>
      </c>
      <c r="C1652" s="1" t="n">
        <v>45962</v>
      </c>
      <c r="D1652" t="inlineStr">
        <is>
          <t>SKÅNE LÄN</t>
        </is>
      </c>
      <c r="E1652" t="inlineStr">
        <is>
          <t>OSBY</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54959-2022</t>
        </is>
      </c>
      <c r="B1653" s="1" t="n">
        <v>44886</v>
      </c>
      <c r="C1653" s="1" t="n">
        <v>45962</v>
      </c>
      <c r="D1653" t="inlineStr">
        <is>
          <t>SKÅNE LÄN</t>
        </is>
      </c>
      <c r="E1653" t="inlineStr">
        <is>
          <t>SJÖBO</t>
        </is>
      </c>
      <c r="G1653" t="n">
        <v>6.4</v>
      </c>
      <c r="H1653" t="n">
        <v>0</v>
      </c>
      <c r="I1653" t="n">
        <v>0</v>
      </c>
      <c r="J1653" t="n">
        <v>0</v>
      </c>
      <c r="K1653" t="n">
        <v>0</v>
      </c>
      <c r="L1653" t="n">
        <v>0</v>
      </c>
      <c r="M1653" t="n">
        <v>0</v>
      </c>
      <c r="N1653" t="n">
        <v>0</v>
      </c>
      <c r="O1653" t="n">
        <v>0</v>
      </c>
      <c r="P1653" t="n">
        <v>0</v>
      </c>
      <c r="Q1653" t="n">
        <v>0</v>
      </c>
      <c r="R1653" s="2" t="inlineStr"/>
    </row>
    <row r="1654" ht="15" customHeight="1">
      <c r="A1654" t="inlineStr">
        <is>
          <t>A 33592-2023</t>
        </is>
      </c>
      <c r="B1654" s="1" t="n">
        <v>45132</v>
      </c>
      <c r="C1654" s="1" t="n">
        <v>45962</v>
      </c>
      <c r="D1654" t="inlineStr">
        <is>
          <t>SKÅNE LÄN</t>
        </is>
      </c>
      <c r="E1654" t="inlineStr">
        <is>
          <t>KRISTIANSTAD</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31931-2024</t>
        </is>
      </c>
      <c r="B1655" s="1" t="n">
        <v>45510.40878472223</v>
      </c>
      <c r="C1655" s="1" t="n">
        <v>45962</v>
      </c>
      <c r="D1655" t="inlineStr">
        <is>
          <t>SKÅNE LÄN</t>
        </is>
      </c>
      <c r="E1655" t="inlineStr">
        <is>
          <t>HÄSSLEHOLM</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34256-2023</t>
        </is>
      </c>
      <c r="B1656" s="1" t="n">
        <v>45138.58577546296</v>
      </c>
      <c r="C1656" s="1" t="n">
        <v>45962</v>
      </c>
      <c r="D1656" t="inlineStr">
        <is>
          <t>SKÅNE LÄN</t>
        </is>
      </c>
      <c r="E1656" t="inlineStr">
        <is>
          <t>ÖSTRA GÖINGE</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31092-2023</t>
        </is>
      </c>
      <c r="B1657" s="1" t="n">
        <v>45113</v>
      </c>
      <c r="C1657" s="1" t="n">
        <v>45962</v>
      </c>
      <c r="D1657" t="inlineStr">
        <is>
          <t>SKÅNE LÄN</t>
        </is>
      </c>
      <c r="E1657" t="inlineStr">
        <is>
          <t>HÖÖR</t>
        </is>
      </c>
      <c r="G1657" t="n">
        <v>7.8</v>
      </c>
      <c r="H1657" t="n">
        <v>0</v>
      </c>
      <c r="I1657" t="n">
        <v>0</v>
      </c>
      <c r="J1657" t="n">
        <v>0</v>
      </c>
      <c r="K1657" t="n">
        <v>0</v>
      </c>
      <c r="L1657" t="n">
        <v>0</v>
      </c>
      <c r="M1657" t="n">
        <v>0</v>
      </c>
      <c r="N1657" t="n">
        <v>0</v>
      </c>
      <c r="O1657" t="n">
        <v>0</v>
      </c>
      <c r="P1657" t="n">
        <v>0</v>
      </c>
      <c r="Q1657" t="n">
        <v>0</v>
      </c>
      <c r="R1657" s="2" t="inlineStr"/>
    </row>
    <row r="1658" ht="15" customHeight="1">
      <c r="A1658" t="inlineStr">
        <is>
          <t>A 18294-2024</t>
        </is>
      </c>
      <c r="B1658" s="1" t="n">
        <v>45422.41104166667</v>
      </c>
      <c r="C1658" s="1" t="n">
        <v>45962</v>
      </c>
      <c r="D1658" t="inlineStr">
        <is>
          <t>SKÅNE LÄN</t>
        </is>
      </c>
      <c r="E1658" t="inlineStr">
        <is>
          <t>OSBY</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52615-2023</t>
        </is>
      </c>
      <c r="B1659" s="1" t="n">
        <v>45219</v>
      </c>
      <c r="C1659" s="1" t="n">
        <v>45962</v>
      </c>
      <c r="D1659" t="inlineStr">
        <is>
          <t>SKÅNE LÄN</t>
        </is>
      </c>
      <c r="E1659" t="inlineStr">
        <is>
          <t>PERSTORP</t>
        </is>
      </c>
      <c r="F1659" t="inlineStr">
        <is>
          <t>Övriga Aktiebolag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6667-2025</t>
        </is>
      </c>
      <c r="B1660" s="1" t="n">
        <v>45700.46334490741</v>
      </c>
      <c r="C1660" s="1" t="n">
        <v>45962</v>
      </c>
      <c r="D1660" t="inlineStr">
        <is>
          <t>SKÅNE LÄN</t>
        </is>
      </c>
      <c r="E1660" t="inlineStr">
        <is>
          <t>ÄNGELHOLM</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15133-2023</t>
        </is>
      </c>
      <c r="B1661" s="1" t="n">
        <v>45016</v>
      </c>
      <c r="C1661" s="1" t="n">
        <v>45962</v>
      </c>
      <c r="D1661" t="inlineStr">
        <is>
          <t>SKÅNE LÄN</t>
        </is>
      </c>
      <c r="E1661" t="inlineStr">
        <is>
          <t>HÄSSLEHOLM</t>
        </is>
      </c>
      <c r="G1661" t="n">
        <v>7.8</v>
      </c>
      <c r="H1661" t="n">
        <v>0</v>
      </c>
      <c r="I1661" t="n">
        <v>0</v>
      </c>
      <c r="J1661" t="n">
        <v>0</v>
      </c>
      <c r="K1661" t="n">
        <v>0</v>
      </c>
      <c r="L1661" t="n">
        <v>0</v>
      </c>
      <c r="M1661" t="n">
        <v>0</v>
      </c>
      <c r="N1661" t="n">
        <v>0</v>
      </c>
      <c r="O1661" t="n">
        <v>0</v>
      </c>
      <c r="P1661" t="n">
        <v>0</v>
      </c>
      <c r="Q1661" t="n">
        <v>0</v>
      </c>
      <c r="R1661" s="2" t="inlineStr"/>
    </row>
    <row r="1662" ht="15" customHeight="1">
      <c r="A1662" t="inlineStr">
        <is>
          <t>A 15143-2023</t>
        </is>
      </c>
      <c r="B1662" s="1" t="n">
        <v>45015</v>
      </c>
      <c r="C1662" s="1" t="n">
        <v>45962</v>
      </c>
      <c r="D1662" t="inlineStr">
        <is>
          <t>SKÅNE LÄN</t>
        </is>
      </c>
      <c r="E1662" t="inlineStr">
        <is>
          <t>OSBY</t>
        </is>
      </c>
      <c r="F1662" t="inlineStr">
        <is>
          <t>Naturvårdsverket</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17537-2022</t>
        </is>
      </c>
      <c r="B1663" s="1" t="n">
        <v>44679.61620370371</v>
      </c>
      <c r="C1663" s="1" t="n">
        <v>45962</v>
      </c>
      <c r="D1663" t="inlineStr">
        <is>
          <t>SKÅNE LÄN</t>
        </is>
      </c>
      <c r="E1663" t="inlineStr">
        <is>
          <t>OSBY</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60682-2020</t>
        </is>
      </c>
      <c r="B1664" s="1" t="n">
        <v>44153.65398148148</v>
      </c>
      <c r="C1664" s="1" t="n">
        <v>45962</v>
      </c>
      <c r="D1664" t="inlineStr">
        <is>
          <t>SKÅNE LÄN</t>
        </is>
      </c>
      <c r="E1664" t="inlineStr">
        <is>
          <t>OSBY</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25183-2023</t>
        </is>
      </c>
      <c r="B1665" s="1" t="n">
        <v>45079</v>
      </c>
      <c r="C1665" s="1" t="n">
        <v>45962</v>
      </c>
      <c r="D1665" t="inlineStr">
        <is>
          <t>SKÅNE LÄN</t>
        </is>
      </c>
      <c r="E1665" t="inlineStr">
        <is>
          <t>HÖRBY</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34883-2023</t>
        </is>
      </c>
      <c r="B1666" s="1" t="n">
        <v>45142.37902777778</v>
      </c>
      <c r="C1666" s="1" t="n">
        <v>45962</v>
      </c>
      <c r="D1666" t="inlineStr">
        <is>
          <t>SKÅNE LÄN</t>
        </is>
      </c>
      <c r="E1666" t="inlineStr">
        <is>
          <t>HÄSSLEHOLM</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34931-2023</t>
        </is>
      </c>
      <c r="B1667" s="1" t="n">
        <v>45142</v>
      </c>
      <c r="C1667" s="1" t="n">
        <v>45962</v>
      </c>
      <c r="D1667" t="inlineStr">
        <is>
          <t>SKÅNE LÄN</t>
        </is>
      </c>
      <c r="E1667" t="inlineStr">
        <is>
          <t>ÖSTRA GÖINGE</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24028-2022</t>
        </is>
      </c>
      <c r="B1668" s="1" t="n">
        <v>44723.45247685185</v>
      </c>
      <c r="C1668" s="1" t="n">
        <v>45962</v>
      </c>
      <c r="D1668" t="inlineStr">
        <is>
          <t>SKÅNE LÄN</t>
        </is>
      </c>
      <c r="E1668" t="inlineStr">
        <is>
          <t>ÖSTRA GÖINGE</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4023-2024</t>
        </is>
      </c>
      <c r="B1669" s="1" t="n">
        <v>45323</v>
      </c>
      <c r="C1669" s="1" t="n">
        <v>45962</v>
      </c>
      <c r="D1669" t="inlineStr">
        <is>
          <t>SKÅNE LÄN</t>
        </is>
      </c>
      <c r="E1669" t="inlineStr">
        <is>
          <t>TOMELILLA</t>
        </is>
      </c>
      <c r="F1669" t="inlineStr">
        <is>
          <t>Övriga Aktiebolag</t>
        </is>
      </c>
      <c r="G1669" t="n">
        <v>15.2</v>
      </c>
      <c r="H1669" t="n">
        <v>0</v>
      </c>
      <c r="I1669" t="n">
        <v>0</v>
      </c>
      <c r="J1669" t="n">
        <v>0</v>
      </c>
      <c r="K1669" t="n">
        <v>0</v>
      </c>
      <c r="L1669" t="n">
        <v>0</v>
      </c>
      <c r="M1669" t="n">
        <v>0</v>
      </c>
      <c r="N1669" t="n">
        <v>0</v>
      </c>
      <c r="O1669" t="n">
        <v>0</v>
      </c>
      <c r="P1669" t="n">
        <v>0</v>
      </c>
      <c r="Q1669" t="n">
        <v>0</v>
      </c>
      <c r="R1669" s="2" t="inlineStr"/>
    </row>
    <row r="1670" ht="15" customHeight="1">
      <c r="A1670" t="inlineStr">
        <is>
          <t>A 19532-2023</t>
        </is>
      </c>
      <c r="B1670" s="1" t="n">
        <v>45049</v>
      </c>
      <c r="C1670" s="1" t="n">
        <v>45962</v>
      </c>
      <c r="D1670" t="inlineStr">
        <is>
          <t>SKÅNE LÄN</t>
        </is>
      </c>
      <c r="E1670" t="inlineStr">
        <is>
          <t>KRISTIANSTAD</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14495-2023</t>
        </is>
      </c>
      <c r="B1671" s="1" t="n">
        <v>45012</v>
      </c>
      <c r="C1671" s="1" t="n">
        <v>45962</v>
      </c>
      <c r="D1671" t="inlineStr">
        <is>
          <t>SKÅNE LÄN</t>
        </is>
      </c>
      <c r="E1671" t="inlineStr">
        <is>
          <t>OSBY</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19190-2023</t>
        </is>
      </c>
      <c r="B1672" s="1" t="n">
        <v>45048</v>
      </c>
      <c r="C1672" s="1" t="n">
        <v>45962</v>
      </c>
      <c r="D1672" t="inlineStr">
        <is>
          <t>SKÅNE LÄN</t>
        </is>
      </c>
      <c r="E1672" t="inlineStr">
        <is>
          <t>SVEDALA</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15104-2023</t>
        </is>
      </c>
      <c r="B1673" s="1" t="n">
        <v>45016.40576388889</v>
      </c>
      <c r="C1673" s="1" t="n">
        <v>45962</v>
      </c>
      <c r="D1673" t="inlineStr">
        <is>
          <t>SKÅNE LÄN</t>
        </is>
      </c>
      <c r="E1673" t="inlineStr">
        <is>
          <t>HÄSSLEHOLM</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15105-2023</t>
        </is>
      </c>
      <c r="B1674" s="1" t="n">
        <v>45015</v>
      </c>
      <c r="C1674" s="1" t="n">
        <v>45962</v>
      </c>
      <c r="D1674" t="inlineStr">
        <is>
          <t>SKÅNE LÄN</t>
        </is>
      </c>
      <c r="E1674" t="inlineStr">
        <is>
          <t>KRISTIANSTAD</t>
        </is>
      </c>
      <c r="F1674" t="inlineStr">
        <is>
          <t>Kyrkan</t>
        </is>
      </c>
      <c r="G1674" t="n">
        <v>3.2</v>
      </c>
      <c r="H1674" t="n">
        <v>0</v>
      </c>
      <c r="I1674" t="n">
        <v>0</v>
      </c>
      <c r="J1674" t="n">
        <v>0</v>
      </c>
      <c r="K1674" t="n">
        <v>0</v>
      </c>
      <c r="L1674" t="n">
        <v>0</v>
      </c>
      <c r="M1674" t="n">
        <v>0</v>
      </c>
      <c r="N1674" t="n">
        <v>0</v>
      </c>
      <c r="O1674" t="n">
        <v>0</v>
      </c>
      <c r="P1674" t="n">
        <v>0</v>
      </c>
      <c r="Q1674" t="n">
        <v>0</v>
      </c>
      <c r="R1674" s="2" t="inlineStr"/>
    </row>
    <row r="1675" ht="15" customHeight="1">
      <c r="A1675" t="inlineStr">
        <is>
          <t>A 11101-2023</t>
        </is>
      </c>
      <c r="B1675" s="1" t="n">
        <v>44986</v>
      </c>
      <c r="C1675" s="1" t="n">
        <v>45962</v>
      </c>
      <c r="D1675" t="inlineStr">
        <is>
          <t>SKÅNE LÄN</t>
        </is>
      </c>
      <c r="E1675" t="inlineStr">
        <is>
          <t>SVALÖV</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53218-2023</t>
        </is>
      </c>
      <c r="B1676" s="1" t="n">
        <v>45229</v>
      </c>
      <c r="C1676" s="1" t="n">
        <v>45962</v>
      </c>
      <c r="D1676" t="inlineStr">
        <is>
          <t>SKÅNE LÄN</t>
        </is>
      </c>
      <c r="E1676" t="inlineStr">
        <is>
          <t>BJUV</t>
        </is>
      </c>
      <c r="G1676" t="n">
        <v>5.4</v>
      </c>
      <c r="H1676" t="n">
        <v>0</v>
      </c>
      <c r="I1676" t="n">
        <v>0</v>
      </c>
      <c r="J1676" t="n">
        <v>0</v>
      </c>
      <c r="K1676" t="n">
        <v>0</v>
      </c>
      <c r="L1676" t="n">
        <v>0</v>
      </c>
      <c r="M1676" t="n">
        <v>0</v>
      </c>
      <c r="N1676" t="n">
        <v>0</v>
      </c>
      <c r="O1676" t="n">
        <v>0</v>
      </c>
      <c r="P1676" t="n">
        <v>0</v>
      </c>
      <c r="Q1676" t="n">
        <v>0</v>
      </c>
      <c r="R1676" s="2" t="inlineStr"/>
    </row>
    <row r="1677" ht="15" customHeight="1">
      <c r="A1677" t="inlineStr">
        <is>
          <t>A 18246-2023</t>
        </is>
      </c>
      <c r="B1677" s="1" t="n">
        <v>45041</v>
      </c>
      <c r="C1677" s="1" t="n">
        <v>45962</v>
      </c>
      <c r="D1677" t="inlineStr">
        <is>
          <t>SKÅNE LÄN</t>
        </is>
      </c>
      <c r="E1677" t="inlineStr">
        <is>
          <t>HÖÖR</t>
        </is>
      </c>
      <c r="G1677" t="n">
        <v>0.2</v>
      </c>
      <c r="H1677" t="n">
        <v>0</v>
      </c>
      <c r="I1677" t="n">
        <v>0</v>
      </c>
      <c r="J1677" t="n">
        <v>0</v>
      </c>
      <c r="K1677" t="n">
        <v>0</v>
      </c>
      <c r="L1677" t="n">
        <v>0</v>
      </c>
      <c r="M1677" t="n">
        <v>0</v>
      </c>
      <c r="N1677" t="n">
        <v>0</v>
      </c>
      <c r="O1677" t="n">
        <v>0</v>
      </c>
      <c r="P1677" t="n">
        <v>0</v>
      </c>
      <c r="Q1677" t="n">
        <v>0</v>
      </c>
      <c r="R1677" s="2" t="inlineStr"/>
    </row>
    <row r="1678" ht="15" customHeight="1">
      <c r="A1678" t="inlineStr">
        <is>
          <t>A 37757-2024</t>
        </is>
      </c>
      <c r="B1678" s="1" t="n">
        <v>45541</v>
      </c>
      <c r="C1678" s="1" t="n">
        <v>45962</v>
      </c>
      <c r="D1678" t="inlineStr">
        <is>
          <t>SKÅNE LÄN</t>
        </is>
      </c>
      <c r="E1678" t="inlineStr">
        <is>
          <t>HÖRBY</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39455-2024</t>
        </is>
      </c>
      <c r="B1679" s="1" t="n">
        <v>45551</v>
      </c>
      <c r="C1679" s="1" t="n">
        <v>45962</v>
      </c>
      <c r="D1679" t="inlineStr">
        <is>
          <t>SKÅNE LÄN</t>
        </is>
      </c>
      <c r="E1679" t="inlineStr">
        <is>
          <t>BROMÖLLA</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69609-2020</t>
        </is>
      </c>
      <c r="B1680" s="1" t="n">
        <v>44195</v>
      </c>
      <c r="C1680" s="1" t="n">
        <v>45962</v>
      </c>
      <c r="D1680" t="inlineStr">
        <is>
          <t>SKÅNE LÄN</t>
        </is>
      </c>
      <c r="E1680" t="inlineStr">
        <is>
          <t>KLIPPAN</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10379-2024</t>
        </is>
      </c>
      <c r="B1681" s="1" t="n">
        <v>45365.64063657408</v>
      </c>
      <c r="C1681" s="1" t="n">
        <v>45962</v>
      </c>
      <c r="D1681" t="inlineStr">
        <is>
          <t>SKÅNE LÄN</t>
        </is>
      </c>
      <c r="E1681" t="inlineStr">
        <is>
          <t>ÖRKELLJUNGA</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20187-2023</t>
        </is>
      </c>
      <c r="B1682" s="1" t="n">
        <v>45055.57027777778</v>
      </c>
      <c r="C1682" s="1" t="n">
        <v>45962</v>
      </c>
      <c r="D1682" t="inlineStr">
        <is>
          <t>SKÅNE LÄN</t>
        </is>
      </c>
      <c r="E1682" t="inlineStr">
        <is>
          <t>HÄSSLEHOLM</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62425-2023</t>
        </is>
      </c>
      <c r="B1683" s="1" t="n">
        <v>45268.41516203704</v>
      </c>
      <c r="C1683" s="1" t="n">
        <v>45962</v>
      </c>
      <c r="D1683" t="inlineStr">
        <is>
          <t>SKÅNE LÄN</t>
        </is>
      </c>
      <c r="E1683" t="inlineStr">
        <is>
          <t>OSBY</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28264-2022</t>
        </is>
      </c>
      <c r="B1684" s="1" t="n">
        <v>44746</v>
      </c>
      <c r="C1684" s="1" t="n">
        <v>45962</v>
      </c>
      <c r="D1684" t="inlineStr">
        <is>
          <t>SKÅNE LÄN</t>
        </is>
      </c>
      <c r="E1684" t="inlineStr">
        <is>
          <t>ÄNGELHOLM</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30367-2023</t>
        </is>
      </c>
      <c r="B1685" s="1" t="n">
        <v>45111</v>
      </c>
      <c r="C1685" s="1" t="n">
        <v>45962</v>
      </c>
      <c r="D1685" t="inlineStr">
        <is>
          <t>SKÅNE LÄN</t>
        </is>
      </c>
      <c r="E1685" t="inlineStr">
        <is>
          <t>KRISTIANSTAD</t>
        </is>
      </c>
      <c r="G1685" t="n">
        <v>2.1</v>
      </c>
      <c r="H1685" t="n">
        <v>0</v>
      </c>
      <c r="I1685" t="n">
        <v>0</v>
      </c>
      <c r="J1685" t="n">
        <v>0</v>
      </c>
      <c r="K1685" t="n">
        <v>0</v>
      </c>
      <c r="L1685" t="n">
        <v>0</v>
      </c>
      <c r="M1685" t="n">
        <v>0</v>
      </c>
      <c r="N1685" t="n">
        <v>0</v>
      </c>
      <c r="O1685" t="n">
        <v>0</v>
      </c>
      <c r="P1685" t="n">
        <v>0</v>
      </c>
      <c r="Q1685" t="n">
        <v>0</v>
      </c>
      <c r="R1685" s="2" t="inlineStr"/>
    </row>
    <row r="1686" ht="15" customHeight="1">
      <c r="A1686" t="inlineStr">
        <is>
          <t>A 30089-2023</t>
        </is>
      </c>
      <c r="B1686" s="1" t="n">
        <v>45110.44355324074</v>
      </c>
      <c r="C1686" s="1" t="n">
        <v>45962</v>
      </c>
      <c r="D1686" t="inlineStr">
        <is>
          <t>SKÅNE LÄN</t>
        </is>
      </c>
      <c r="E1686" t="inlineStr">
        <is>
          <t>BROMÖLLA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4231-2025</t>
        </is>
      </c>
      <c r="B1687" s="1" t="n">
        <v>45685.55055555556</v>
      </c>
      <c r="C1687" s="1" t="n">
        <v>45962</v>
      </c>
      <c r="D1687" t="inlineStr">
        <is>
          <t>SKÅNE LÄN</t>
        </is>
      </c>
      <c r="E1687" t="inlineStr">
        <is>
          <t>OSBY</t>
        </is>
      </c>
      <c r="F1687" t="inlineStr">
        <is>
          <t>Sveaskog</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30112-2023</t>
        </is>
      </c>
      <c r="B1688" s="1" t="n">
        <v>45110.47505787037</v>
      </c>
      <c r="C1688" s="1" t="n">
        <v>45962</v>
      </c>
      <c r="D1688" t="inlineStr">
        <is>
          <t>SKÅNE LÄN</t>
        </is>
      </c>
      <c r="E1688" t="inlineStr">
        <is>
          <t>BROMÖLLA</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4248-2025</t>
        </is>
      </c>
      <c r="B1689" s="1" t="n">
        <v>45685.59568287037</v>
      </c>
      <c r="C1689" s="1" t="n">
        <v>45962</v>
      </c>
      <c r="D1689" t="inlineStr">
        <is>
          <t>SKÅNE LÄN</t>
        </is>
      </c>
      <c r="E1689" t="inlineStr">
        <is>
          <t>KRISTIANSTAD</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38046-2024</t>
        </is>
      </c>
      <c r="B1690" s="1" t="n">
        <v>45544.68872685185</v>
      </c>
      <c r="C1690" s="1" t="n">
        <v>45962</v>
      </c>
      <c r="D1690" t="inlineStr">
        <is>
          <t>SKÅNE LÄN</t>
        </is>
      </c>
      <c r="E1690" t="inlineStr">
        <is>
          <t>KRISTIANSTAD</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23396-2023</t>
        </is>
      </c>
      <c r="B1691" s="1" t="n">
        <v>45076</v>
      </c>
      <c r="C1691" s="1" t="n">
        <v>45962</v>
      </c>
      <c r="D1691" t="inlineStr">
        <is>
          <t>SKÅNE LÄN</t>
        </is>
      </c>
      <c r="E1691" t="inlineStr">
        <is>
          <t>ÖSTRA GÖINGE</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47869-2022</t>
        </is>
      </c>
      <c r="B1692" s="1" t="n">
        <v>44855.43141203704</v>
      </c>
      <c r="C1692" s="1" t="n">
        <v>45962</v>
      </c>
      <c r="D1692" t="inlineStr">
        <is>
          <t>SKÅNE LÄN</t>
        </is>
      </c>
      <c r="E1692" t="inlineStr">
        <is>
          <t>KLIPPAN</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61108-2020</t>
        </is>
      </c>
      <c r="B1693" s="1" t="n">
        <v>44154</v>
      </c>
      <c r="C1693" s="1" t="n">
        <v>45962</v>
      </c>
      <c r="D1693" t="inlineStr">
        <is>
          <t>SKÅNE LÄN</t>
        </is>
      </c>
      <c r="E1693" t="inlineStr">
        <is>
          <t>ÖRKELLJUNGA</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29291-2023</t>
        </is>
      </c>
      <c r="B1694" s="1" t="n">
        <v>45105</v>
      </c>
      <c r="C1694" s="1" t="n">
        <v>45962</v>
      </c>
      <c r="D1694" t="inlineStr">
        <is>
          <t>SKÅNE LÄN</t>
        </is>
      </c>
      <c r="E1694" t="inlineStr">
        <is>
          <t>OSBY</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23740-2023</t>
        </is>
      </c>
      <c r="B1695" s="1" t="n">
        <v>45077</v>
      </c>
      <c r="C1695" s="1" t="n">
        <v>45962</v>
      </c>
      <c r="D1695" t="inlineStr">
        <is>
          <t>SKÅNE LÄN</t>
        </is>
      </c>
      <c r="E1695" t="inlineStr">
        <is>
          <t>ÖRKELLJUNGA</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8249-2023</t>
        </is>
      </c>
      <c r="B1696" s="1" t="n">
        <v>44974</v>
      </c>
      <c r="C1696" s="1" t="n">
        <v>45962</v>
      </c>
      <c r="D1696" t="inlineStr">
        <is>
          <t>SKÅNE LÄN</t>
        </is>
      </c>
      <c r="E1696" t="inlineStr">
        <is>
          <t>HÄSSLEHOLM</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17110-2025</t>
        </is>
      </c>
      <c r="B1697" s="1" t="n">
        <v>45755</v>
      </c>
      <c r="C1697" s="1" t="n">
        <v>45962</v>
      </c>
      <c r="D1697" t="inlineStr">
        <is>
          <t>SKÅNE LÄN</t>
        </is>
      </c>
      <c r="E1697" t="inlineStr">
        <is>
          <t>SIMRISHAMN</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36842-2024</t>
        </is>
      </c>
      <c r="B1698" s="1" t="n">
        <v>45538</v>
      </c>
      <c r="C1698" s="1" t="n">
        <v>45962</v>
      </c>
      <c r="D1698" t="inlineStr">
        <is>
          <t>SKÅNE LÄN</t>
        </is>
      </c>
      <c r="E1698" t="inlineStr">
        <is>
          <t>KLIPPAN</t>
        </is>
      </c>
      <c r="F1698" t="inlineStr">
        <is>
          <t>Sveaskog</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4501-2024</t>
        </is>
      </c>
      <c r="B1699" s="1" t="n">
        <v>45327.61340277778</v>
      </c>
      <c r="C1699" s="1" t="n">
        <v>45962</v>
      </c>
      <c r="D1699" t="inlineStr">
        <is>
          <t>SKÅNE LÄN</t>
        </is>
      </c>
      <c r="E1699" t="inlineStr">
        <is>
          <t>HÖÖR</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16287-2023</t>
        </is>
      </c>
      <c r="B1700" s="1" t="n">
        <v>45022</v>
      </c>
      <c r="C1700" s="1" t="n">
        <v>45962</v>
      </c>
      <c r="D1700" t="inlineStr">
        <is>
          <t>SKÅNE LÄN</t>
        </is>
      </c>
      <c r="E1700" t="inlineStr">
        <is>
          <t>ÖSTRA GÖINGE</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2593-2024</t>
        </is>
      </c>
      <c r="B1701" s="1" t="n">
        <v>45313.69204861111</v>
      </c>
      <c r="C1701" s="1" t="n">
        <v>45962</v>
      </c>
      <c r="D1701" t="inlineStr">
        <is>
          <t>SKÅNE LÄN</t>
        </is>
      </c>
      <c r="E1701" t="inlineStr">
        <is>
          <t>HELSINGBORG</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14620-2025</t>
        </is>
      </c>
      <c r="B1702" s="1" t="n">
        <v>45742.41289351852</v>
      </c>
      <c r="C1702" s="1" t="n">
        <v>45962</v>
      </c>
      <c r="D1702" t="inlineStr">
        <is>
          <t>SKÅNE LÄN</t>
        </is>
      </c>
      <c r="E1702" t="inlineStr">
        <is>
          <t>KLIPPAN</t>
        </is>
      </c>
      <c r="G1702" t="n">
        <v>7</v>
      </c>
      <c r="H1702" t="n">
        <v>0</v>
      </c>
      <c r="I1702" t="n">
        <v>0</v>
      </c>
      <c r="J1702" t="n">
        <v>0</v>
      </c>
      <c r="K1702" t="n">
        <v>0</v>
      </c>
      <c r="L1702" t="n">
        <v>0</v>
      </c>
      <c r="M1702" t="n">
        <v>0</v>
      </c>
      <c r="N1702" t="n">
        <v>0</v>
      </c>
      <c r="O1702" t="n">
        <v>0</v>
      </c>
      <c r="P1702" t="n">
        <v>0</v>
      </c>
      <c r="Q1702" t="n">
        <v>0</v>
      </c>
      <c r="R1702" s="2" t="inlineStr"/>
    </row>
    <row r="1703" ht="15" customHeight="1">
      <c r="A1703" t="inlineStr">
        <is>
          <t>A 12507-2022</t>
        </is>
      </c>
      <c r="B1703" s="1" t="n">
        <v>44638</v>
      </c>
      <c r="C1703" s="1" t="n">
        <v>45962</v>
      </c>
      <c r="D1703" t="inlineStr">
        <is>
          <t>SKÅNE LÄN</t>
        </is>
      </c>
      <c r="E1703" t="inlineStr">
        <is>
          <t>HÄSSLEHOLM</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6719-2024</t>
        </is>
      </c>
      <c r="B1704" s="1" t="n">
        <v>45342.37055555556</v>
      </c>
      <c r="C1704" s="1" t="n">
        <v>45962</v>
      </c>
      <c r="D1704" t="inlineStr">
        <is>
          <t>SKÅNE LÄN</t>
        </is>
      </c>
      <c r="E1704" t="inlineStr">
        <is>
          <t>KRISTIANSTAD</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4193-2024</t>
        </is>
      </c>
      <c r="B1705" s="1" t="n">
        <v>45324</v>
      </c>
      <c r="C1705" s="1" t="n">
        <v>45962</v>
      </c>
      <c r="D1705" t="inlineStr">
        <is>
          <t>SKÅNE LÄN</t>
        </is>
      </c>
      <c r="E1705" t="inlineStr">
        <is>
          <t>SIMRISHAMN</t>
        </is>
      </c>
      <c r="F1705" t="inlineStr">
        <is>
          <t>Övriga Aktiebolag</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19068-2025</t>
        </is>
      </c>
      <c r="B1706" s="1" t="n">
        <v>45765.43796296296</v>
      </c>
      <c r="C1706" s="1" t="n">
        <v>45962</v>
      </c>
      <c r="D1706" t="inlineStr">
        <is>
          <t>SKÅNE LÄN</t>
        </is>
      </c>
      <c r="E1706" t="inlineStr">
        <is>
          <t>ÖSTRA GÖINGE</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39221-2023</t>
        </is>
      </c>
      <c r="B1707" s="1" t="n">
        <v>45162</v>
      </c>
      <c r="C1707" s="1" t="n">
        <v>45962</v>
      </c>
      <c r="D1707" t="inlineStr">
        <is>
          <t>SKÅNE LÄN</t>
        </is>
      </c>
      <c r="E1707" t="inlineStr">
        <is>
          <t>SIMRISHAMN</t>
        </is>
      </c>
      <c r="G1707" t="n">
        <v>3.1</v>
      </c>
      <c r="H1707" t="n">
        <v>0</v>
      </c>
      <c r="I1707" t="n">
        <v>0</v>
      </c>
      <c r="J1707" t="n">
        <v>0</v>
      </c>
      <c r="K1707" t="n">
        <v>0</v>
      </c>
      <c r="L1707" t="n">
        <v>0</v>
      </c>
      <c r="M1707" t="n">
        <v>0</v>
      </c>
      <c r="N1707" t="n">
        <v>0</v>
      </c>
      <c r="O1707" t="n">
        <v>0</v>
      </c>
      <c r="P1707" t="n">
        <v>0</v>
      </c>
      <c r="Q1707" t="n">
        <v>0</v>
      </c>
      <c r="R1707" s="2" t="inlineStr"/>
    </row>
    <row r="1708" ht="15" customHeight="1">
      <c r="A1708" t="inlineStr">
        <is>
          <t>A 58618-2024</t>
        </is>
      </c>
      <c r="B1708" s="1" t="n">
        <v>45635.56150462963</v>
      </c>
      <c r="C1708" s="1" t="n">
        <v>45962</v>
      </c>
      <c r="D1708" t="inlineStr">
        <is>
          <t>SKÅNE LÄN</t>
        </is>
      </c>
      <c r="E1708" t="inlineStr">
        <is>
          <t>HÄSSLEHOLM</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11177-2023</t>
        </is>
      </c>
      <c r="B1709" s="1" t="n">
        <v>44987</v>
      </c>
      <c r="C1709" s="1" t="n">
        <v>45962</v>
      </c>
      <c r="D1709" t="inlineStr">
        <is>
          <t>SKÅNE LÄN</t>
        </is>
      </c>
      <c r="E1709" t="inlineStr">
        <is>
          <t>SVALÖV</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45092-2024</t>
        </is>
      </c>
      <c r="B1710" s="1" t="n">
        <v>45575.5844212963</v>
      </c>
      <c r="C1710" s="1" t="n">
        <v>45962</v>
      </c>
      <c r="D1710" t="inlineStr">
        <is>
          <t>SKÅNE LÄN</t>
        </is>
      </c>
      <c r="E1710" t="inlineStr">
        <is>
          <t>HÖÖR</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33796-2023</t>
        </is>
      </c>
      <c r="B1711" s="1" t="n">
        <v>45133.57142361111</v>
      </c>
      <c r="C1711" s="1" t="n">
        <v>45962</v>
      </c>
      <c r="D1711" t="inlineStr">
        <is>
          <t>SKÅNE LÄN</t>
        </is>
      </c>
      <c r="E1711" t="inlineStr">
        <is>
          <t>ÖRKELLJUNGA</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814-2024</t>
        </is>
      </c>
      <c r="B1712" s="1" t="n">
        <v>45300</v>
      </c>
      <c r="C1712" s="1" t="n">
        <v>45962</v>
      </c>
      <c r="D1712" t="inlineStr">
        <is>
          <t>SKÅNE LÄN</t>
        </is>
      </c>
      <c r="E1712" t="inlineStr">
        <is>
          <t>BROMÖLLA</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45572-2022</t>
        </is>
      </c>
      <c r="B1713" s="1" t="n">
        <v>44845</v>
      </c>
      <c r="C1713" s="1" t="n">
        <v>45962</v>
      </c>
      <c r="D1713" t="inlineStr">
        <is>
          <t>SKÅNE LÄN</t>
        </is>
      </c>
      <c r="E1713" t="inlineStr">
        <is>
          <t>ÖSTRA GÖINGE</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11266-2025</t>
        </is>
      </c>
      <c r="B1714" s="1" t="n">
        <v>45726</v>
      </c>
      <c r="C1714" s="1" t="n">
        <v>45962</v>
      </c>
      <c r="D1714" t="inlineStr">
        <is>
          <t>SKÅNE LÄN</t>
        </is>
      </c>
      <c r="E1714" t="inlineStr">
        <is>
          <t>HÄSSLEHOLM</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13263-2024</t>
        </is>
      </c>
      <c r="B1715" s="1" t="n">
        <v>45386.59263888889</v>
      </c>
      <c r="C1715" s="1" t="n">
        <v>45962</v>
      </c>
      <c r="D1715" t="inlineStr">
        <is>
          <t>SKÅNE LÄN</t>
        </is>
      </c>
      <c r="E1715" t="inlineStr">
        <is>
          <t>KRISTIANSTAD</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11693-2025</t>
        </is>
      </c>
      <c r="B1716" s="1" t="n">
        <v>45727</v>
      </c>
      <c r="C1716" s="1" t="n">
        <v>45962</v>
      </c>
      <c r="D1716" t="inlineStr">
        <is>
          <t>SKÅNE LÄN</t>
        </is>
      </c>
      <c r="E1716" t="inlineStr">
        <is>
          <t>KRISTIANSTAD</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24930-2024</t>
        </is>
      </c>
      <c r="B1717" s="1" t="n">
        <v>45461.61435185185</v>
      </c>
      <c r="C1717" s="1" t="n">
        <v>45962</v>
      </c>
      <c r="D1717" t="inlineStr">
        <is>
          <t>SKÅNE LÄN</t>
        </is>
      </c>
      <c r="E1717" t="inlineStr">
        <is>
          <t>KRISTIANSTAD</t>
        </is>
      </c>
      <c r="F1717" t="inlineStr">
        <is>
          <t>Sveaskog</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13273-2024</t>
        </is>
      </c>
      <c r="B1718" s="1" t="n">
        <v>45386</v>
      </c>
      <c r="C1718" s="1" t="n">
        <v>45962</v>
      </c>
      <c r="D1718" t="inlineStr">
        <is>
          <t>SKÅNE LÄN</t>
        </is>
      </c>
      <c r="E1718" t="inlineStr">
        <is>
          <t>SVALÖV</t>
        </is>
      </c>
      <c r="G1718" t="n">
        <v>12.4</v>
      </c>
      <c r="H1718" t="n">
        <v>0</v>
      </c>
      <c r="I1718" t="n">
        <v>0</v>
      </c>
      <c r="J1718" t="n">
        <v>0</v>
      </c>
      <c r="K1718" t="n">
        <v>0</v>
      </c>
      <c r="L1718" t="n">
        <v>0</v>
      </c>
      <c r="M1718" t="n">
        <v>0</v>
      </c>
      <c r="N1718" t="n">
        <v>0</v>
      </c>
      <c r="O1718" t="n">
        <v>0</v>
      </c>
      <c r="P1718" t="n">
        <v>0</v>
      </c>
      <c r="Q1718" t="n">
        <v>0</v>
      </c>
      <c r="R1718" s="2" t="inlineStr"/>
    </row>
    <row r="1719" ht="15" customHeight="1">
      <c r="A1719" t="inlineStr">
        <is>
          <t>A 9559-2022</t>
        </is>
      </c>
      <c r="B1719" s="1" t="n">
        <v>44617.43976851852</v>
      </c>
      <c r="C1719" s="1" t="n">
        <v>45962</v>
      </c>
      <c r="D1719" t="inlineStr">
        <is>
          <t>SKÅNE LÄN</t>
        </is>
      </c>
      <c r="E1719" t="inlineStr">
        <is>
          <t>ÖRKELLJUNGA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31596-2023</t>
        </is>
      </c>
      <c r="B1720" s="1" t="n">
        <v>45117</v>
      </c>
      <c r="C1720" s="1" t="n">
        <v>45962</v>
      </c>
      <c r="D1720" t="inlineStr">
        <is>
          <t>SKÅNE LÄN</t>
        </is>
      </c>
      <c r="E1720" t="inlineStr">
        <is>
          <t>HÖRBY</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12134-2024</t>
        </is>
      </c>
      <c r="B1721" s="1" t="n">
        <v>45377</v>
      </c>
      <c r="C1721" s="1" t="n">
        <v>45962</v>
      </c>
      <c r="D1721" t="inlineStr">
        <is>
          <t>SKÅNE LÄN</t>
        </is>
      </c>
      <c r="E1721" t="inlineStr">
        <is>
          <t>KRISTIANSTAD</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530-2025</t>
        </is>
      </c>
      <c r="B1722" s="1" t="n">
        <v>45664.50134259259</v>
      </c>
      <c r="C1722" s="1" t="n">
        <v>45962</v>
      </c>
      <c r="D1722" t="inlineStr">
        <is>
          <t>SKÅNE LÄN</t>
        </is>
      </c>
      <c r="E1722" t="inlineStr">
        <is>
          <t>HÖÖR</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47840-2023</t>
        </is>
      </c>
      <c r="B1723" s="1" t="n">
        <v>45204</v>
      </c>
      <c r="C1723" s="1" t="n">
        <v>45962</v>
      </c>
      <c r="D1723" t="inlineStr">
        <is>
          <t>SKÅNE LÄN</t>
        </is>
      </c>
      <c r="E1723" t="inlineStr">
        <is>
          <t>HÄSSLEHOLM</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2829-2023</t>
        </is>
      </c>
      <c r="B1724" s="1" t="n">
        <v>44945</v>
      </c>
      <c r="C1724" s="1" t="n">
        <v>45962</v>
      </c>
      <c r="D1724" t="inlineStr">
        <is>
          <t>SKÅNE LÄN</t>
        </is>
      </c>
      <c r="E1724" t="inlineStr">
        <is>
          <t>KRISTIANSTAD</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2597-2024</t>
        </is>
      </c>
      <c r="B1725" s="1" t="n">
        <v>45313</v>
      </c>
      <c r="C1725" s="1" t="n">
        <v>45962</v>
      </c>
      <c r="D1725" t="inlineStr">
        <is>
          <t>SKÅNE LÄN</t>
        </is>
      </c>
      <c r="E1725" t="inlineStr">
        <is>
          <t>HÄSSLEHOLM</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2635-2024</t>
        </is>
      </c>
      <c r="B1726" s="1" t="n">
        <v>45314.32972222222</v>
      </c>
      <c r="C1726" s="1" t="n">
        <v>45962</v>
      </c>
      <c r="D1726" t="inlineStr">
        <is>
          <t>SKÅNE LÄN</t>
        </is>
      </c>
      <c r="E1726" t="inlineStr">
        <is>
          <t>OSBY</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3291-2025</t>
        </is>
      </c>
      <c r="B1727" s="1" t="n">
        <v>45679.63872685185</v>
      </c>
      <c r="C1727" s="1" t="n">
        <v>45962</v>
      </c>
      <c r="D1727" t="inlineStr">
        <is>
          <t>SKÅNE LÄN</t>
        </is>
      </c>
      <c r="E1727" t="inlineStr">
        <is>
          <t>TOMELILLA</t>
        </is>
      </c>
      <c r="F1727" t="inlineStr">
        <is>
          <t>Övriga Aktiebolag</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42399-2023</t>
        </is>
      </c>
      <c r="B1728" s="1" t="n">
        <v>45180.59017361111</v>
      </c>
      <c r="C1728" s="1" t="n">
        <v>45962</v>
      </c>
      <c r="D1728" t="inlineStr">
        <is>
          <t>SKÅNE LÄN</t>
        </is>
      </c>
      <c r="E1728" t="inlineStr">
        <is>
          <t>ÖSTRA GÖINGE</t>
        </is>
      </c>
      <c r="G1728" t="n">
        <v>4</v>
      </c>
      <c r="H1728" t="n">
        <v>0</v>
      </c>
      <c r="I1728" t="n">
        <v>0</v>
      </c>
      <c r="J1728" t="n">
        <v>0</v>
      </c>
      <c r="K1728" t="n">
        <v>0</v>
      </c>
      <c r="L1728" t="n">
        <v>0</v>
      </c>
      <c r="M1728" t="n">
        <v>0</v>
      </c>
      <c r="N1728" t="n">
        <v>0</v>
      </c>
      <c r="O1728" t="n">
        <v>0</v>
      </c>
      <c r="P1728" t="n">
        <v>0</v>
      </c>
      <c r="Q1728" t="n">
        <v>0</v>
      </c>
      <c r="R1728" s="2" t="inlineStr"/>
    </row>
    <row r="1729" ht="15" customHeight="1">
      <c r="A1729" t="inlineStr">
        <is>
          <t>A 53131-2021</t>
        </is>
      </c>
      <c r="B1729" s="1" t="n">
        <v>44468</v>
      </c>
      <c r="C1729" s="1" t="n">
        <v>45962</v>
      </c>
      <c r="D1729" t="inlineStr">
        <is>
          <t>SKÅNE LÄN</t>
        </is>
      </c>
      <c r="E1729" t="inlineStr">
        <is>
          <t>BÅSTAD</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31925-2024</t>
        </is>
      </c>
      <c r="B1730" s="1" t="n">
        <v>45510</v>
      </c>
      <c r="C1730" s="1" t="n">
        <v>45962</v>
      </c>
      <c r="D1730" t="inlineStr">
        <is>
          <t>SKÅNE LÄN</t>
        </is>
      </c>
      <c r="E1730" t="inlineStr">
        <is>
          <t>ÖRKELLJUNGA</t>
        </is>
      </c>
      <c r="G1730" t="n">
        <v>2.9</v>
      </c>
      <c r="H1730" t="n">
        <v>0</v>
      </c>
      <c r="I1730" t="n">
        <v>0</v>
      </c>
      <c r="J1730" t="n">
        <v>0</v>
      </c>
      <c r="K1730" t="n">
        <v>0</v>
      </c>
      <c r="L1730" t="n">
        <v>0</v>
      </c>
      <c r="M1730" t="n">
        <v>0</v>
      </c>
      <c r="N1730" t="n">
        <v>0</v>
      </c>
      <c r="O1730" t="n">
        <v>0</v>
      </c>
      <c r="P1730" t="n">
        <v>0</v>
      </c>
      <c r="Q1730" t="n">
        <v>0</v>
      </c>
      <c r="R1730" s="2" t="inlineStr"/>
    </row>
    <row r="1731" ht="15" customHeight="1">
      <c r="A1731" t="inlineStr">
        <is>
          <t>A 15181-2022</t>
        </is>
      </c>
      <c r="B1731" s="1" t="n">
        <v>44658.5822800926</v>
      </c>
      <c r="C1731" s="1" t="n">
        <v>45962</v>
      </c>
      <c r="D1731" t="inlineStr">
        <is>
          <t>SKÅNE LÄN</t>
        </is>
      </c>
      <c r="E1731" t="inlineStr">
        <is>
          <t>OSBY</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37588-2024</t>
        </is>
      </c>
      <c r="B1732" s="1" t="n">
        <v>45541.46586805556</v>
      </c>
      <c r="C1732" s="1" t="n">
        <v>45962</v>
      </c>
      <c r="D1732" t="inlineStr">
        <is>
          <t>SKÅNE LÄN</t>
        </is>
      </c>
      <c r="E1732" t="inlineStr">
        <is>
          <t>ÖSTRA GÖINGE</t>
        </is>
      </c>
      <c r="G1732" t="n">
        <v>5</v>
      </c>
      <c r="H1732" t="n">
        <v>0</v>
      </c>
      <c r="I1732" t="n">
        <v>0</v>
      </c>
      <c r="J1732" t="n">
        <v>0</v>
      </c>
      <c r="K1732" t="n">
        <v>0</v>
      </c>
      <c r="L1732" t="n">
        <v>0</v>
      </c>
      <c r="M1732" t="n">
        <v>0</v>
      </c>
      <c r="N1732" t="n">
        <v>0</v>
      </c>
      <c r="O1732" t="n">
        <v>0</v>
      </c>
      <c r="P1732" t="n">
        <v>0</v>
      </c>
      <c r="Q1732" t="n">
        <v>0</v>
      </c>
      <c r="R1732" s="2" t="inlineStr"/>
    </row>
    <row r="1733" ht="15" customHeight="1">
      <c r="A1733" t="inlineStr">
        <is>
          <t>A 37593-2024</t>
        </is>
      </c>
      <c r="B1733" s="1" t="n">
        <v>45541.4724074074</v>
      </c>
      <c r="C1733" s="1" t="n">
        <v>45962</v>
      </c>
      <c r="D1733" t="inlineStr">
        <is>
          <t>SKÅNE LÄN</t>
        </is>
      </c>
      <c r="E1733" t="inlineStr">
        <is>
          <t>ÖSTRA GÖINGE</t>
        </is>
      </c>
      <c r="G1733" t="n">
        <v>8.300000000000001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6615-2024</t>
        </is>
      </c>
      <c r="B1734" s="1" t="n">
        <v>45341</v>
      </c>
      <c r="C1734" s="1" t="n">
        <v>45962</v>
      </c>
      <c r="D1734" t="inlineStr">
        <is>
          <t>SKÅNE LÄN</t>
        </is>
      </c>
      <c r="E1734" t="inlineStr">
        <is>
          <t>KLIPPAN</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62277-2023</t>
        </is>
      </c>
      <c r="B1735" s="1" t="n">
        <v>45266</v>
      </c>
      <c r="C1735" s="1" t="n">
        <v>45962</v>
      </c>
      <c r="D1735" t="inlineStr">
        <is>
          <t>SKÅNE LÄN</t>
        </is>
      </c>
      <c r="E1735" t="inlineStr">
        <is>
          <t>HÄSSLEHOLM</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45764-2022</t>
        </is>
      </c>
      <c r="B1736" s="1" t="n">
        <v>44846.37982638889</v>
      </c>
      <c r="C1736" s="1" t="n">
        <v>45962</v>
      </c>
      <c r="D1736" t="inlineStr">
        <is>
          <t>SKÅNE LÄN</t>
        </is>
      </c>
      <c r="E1736" t="inlineStr">
        <is>
          <t>KRISTIANSTAD</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42374-2023</t>
        </is>
      </c>
      <c r="B1737" s="1" t="n">
        <v>45180.5609375</v>
      </c>
      <c r="C1737" s="1" t="n">
        <v>45962</v>
      </c>
      <c r="D1737" t="inlineStr">
        <is>
          <t>SKÅNE LÄN</t>
        </is>
      </c>
      <c r="E1737" t="inlineStr">
        <is>
          <t>SIMRISHAMN</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8721-2023</t>
        </is>
      </c>
      <c r="B1738" s="1" t="n">
        <v>44978</v>
      </c>
      <c r="C1738" s="1" t="n">
        <v>45962</v>
      </c>
      <c r="D1738" t="inlineStr">
        <is>
          <t>SKÅNE LÄN</t>
        </is>
      </c>
      <c r="E1738" t="inlineStr">
        <is>
          <t>SIMRISHAMN</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44613-2023</t>
        </is>
      </c>
      <c r="B1739" s="1" t="n">
        <v>45189</v>
      </c>
      <c r="C1739" s="1" t="n">
        <v>45962</v>
      </c>
      <c r="D1739" t="inlineStr">
        <is>
          <t>SKÅNE LÄN</t>
        </is>
      </c>
      <c r="E1739" t="inlineStr">
        <is>
          <t>HÖRBY</t>
        </is>
      </c>
      <c r="F1739" t="inlineStr">
        <is>
          <t>Sveaskog</t>
        </is>
      </c>
      <c r="G1739" t="n">
        <v>3.8</v>
      </c>
      <c r="H1739" t="n">
        <v>0</v>
      </c>
      <c r="I1739" t="n">
        <v>0</v>
      </c>
      <c r="J1739" t="n">
        <v>0</v>
      </c>
      <c r="K1739" t="n">
        <v>0</v>
      </c>
      <c r="L1739" t="n">
        <v>0</v>
      </c>
      <c r="M1739" t="n">
        <v>0</v>
      </c>
      <c r="N1739" t="n">
        <v>0</v>
      </c>
      <c r="O1739" t="n">
        <v>0</v>
      </c>
      <c r="P1739" t="n">
        <v>0</v>
      </c>
      <c r="Q1739" t="n">
        <v>0</v>
      </c>
      <c r="R1739" s="2" t="inlineStr"/>
    </row>
    <row r="1740" ht="15" customHeight="1">
      <c r="A1740" t="inlineStr">
        <is>
          <t>A 10833-2021</t>
        </is>
      </c>
      <c r="B1740" s="1" t="n">
        <v>44259</v>
      </c>
      <c r="C1740" s="1" t="n">
        <v>45962</v>
      </c>
      <c r="D1740" t="inlineStr">
        <is>
          <t>SKÅNE LÄN</t>
        </is>
      </c>
      <c r="E1740" t="inlineStr">
        <is>
          <t>ÄNGELHOLM</t>
        </is>
      </c>
      <c r="G1740" t="n">
        <v>5.4</v>
      </c>
      <c r="H1740" t="n">
        <v>0</v>
      </c>
      <c r="I1740" t="n">
        <v>0</v>
      </c>
      <c r="J1740" t="n">
        <v>0</v>
      </c>
      <c r="K1740" t="n">
        <v>0</v>
      </c>
      <c r="L1740" t="n">
        <v>0</v>
      </c>
      <c r="M1740" t="n">
        <v>0</v>
      </c>
      <c r="N1740" t="n">
        <v>0</v>
      </c>
      <c r="O1740" t="n">
        <v>0</v>
      </c>
      <c r="P1740" t="n">
        <v>0</v>
      </c>
      <c r="Q1740" t="n">
        <v>0</v>
      </c>
      <c r="R1740" s="2" t="inlineStr"/>
    </row>
    <row r="1741" ht="15" customHeight="1">
      <c r="A1741" t="inlineStr">
        <is>
          <t>A 26471-2023</t>
        </is>
      </c>
      <c r="B1741" s="1" t="n">
        <v>45092</v>
      </c>
      <c r="C1741" s="1" t="n">
        <v>45962</v>
      </c>
      <c r="D1741" t="inlineStr">
        <is>
          <t>SKÅNE LÄN</t>
        </is>
      </c>
      <c r="E1741" t="inlineStr">
        <is>
          <t>SIMRISHAMN</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32794-2021</t>
        </is>
      </c>
      <c r="B1742" s="1" t="n">
        <v>44375</v>
      </c>
      <c r="C1742" s="1" t="n">
        <v>45962</v>
      </c>
      <c r="D1742" t="inlineStr">
        <is>
          <t>SKÅNE LÄN</t>
        </is>
      </c>
      <c r="E1742" t="inlineStr">
        <is>
          <t>HÄSSLEHOLM</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55703-2024</t>
        </is>
      </c>
      <c r="B1743" s="1" t="n">
        <v>45622</v>
      </c>
      <c r="C1743" s="1" t="n">
        <v>45962</v>
      </c>
      <c r="D1743" t="inlineStr">
        <is>
          <t>SKÅNE LÄN</t>
        </is>
      </c>
      <c r="E1743" t="inlineStr">
        <is>
          <t>ÖSTRA GÖINGE</t>
        </is>
      </c>
      <c r="F1743" t="inlineStr">
        <is>
          <t>Sveaskog</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56231-2022</t>
        </is>
      </c>
      <c r="B1744" s="1" t="n">
        <v>44890</v>
      </c>
      <c r="C1744" s="1" t="n">
        <v>45962</v>
      </c>
      <c r="D1744" t="inlineStr">
        <is>
          <t>SKÅNE LÄN</t>
        </is>
      </c>
      <c r="E1744" t="inlineStr">
        <is>
          <t>HÖÖR</t>
        </is>
      </c>
      <c r="G1744" t="n">
        <v>7.7</v>
      </c>
      <c r="H1744" t="n">
        <v>0</v>
      </c>
      <c r="I1744" t="n">
        <v>0</v>
      </c>
      <c r="J1744" t="n">
        <v>0</v>
      </c>
      <c r="K1744" t="n">
        <v>0</v>
      </c>
      <c r="L1744" t="n">
        <v>0</v>
      </c>
      <c r="M1744" t="n">
        <v>0</v>
      </c>
      <c r="N1744" t="n">
        <v>0</v>
      </c>
      <c r="O1744" t="n">
        <v>0</v>
      </c>
      <c r="P1744" t="n">
        <v>0</v>
      </c>
      <c r="Q1744" t="n">
        <v>0</v>
      </c>
      <c r="R1744" s="2" t="inlineStr"/>
    </row>
    <row r="1745" ht="15" customHeight="1">
      <c r="A1745" t="inlineStr">
        <is>
          <t>A 10196-2025</t>
        </is>
      </c>
      <c r="B1745" s="1" t="n">
        <v>45719</v>
      </c>
      <c r="C1745" s="1" t="n">
        <v>45962</v>
      </c>
      <c r="D1745" t="inlineStr">
        <is>
          <t>SKÅNE LÄN</t>
        </is>
      </c>
      <c r="E1745" t="inlineStr">
        <is>
          <t>SVALÖV</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6811-2021</t>
        </is>
      </c>
      <c r="B1746" s="1" t="n">
        <v>44236</v>
      </c>
      <c r="C1746" s="1" t="n">
        <v>45962</v>
      </c>
      <c r="D1746" t="inlineStr">
        <is>
          <t>SKÅNE LÄN</t>
        </is>
      </c>
      <c r="E1746" t="inlineStr">
        <is>
          <t>ÖSTRA GÖINGE</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41940-2022</t>
        </is>
      </c>
      <c r="B1747" s="1" t="n">
        <v>44833</v>
      </c>
      <c r="C1747" s="1" t="n">
        <v>45962</v>
      </c>
      <c r="D1747" t="inlineStr">
        <is>
          <t>SKÅNE LÄN</t>
        </is>
      </c>
      <c r="E1747" t="inlineStr">
        <is>
          <t>HÖRBY</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30233-2023</t>
        </is>
      </c>
      <c r="B1748" s="1" t="n">
        <v>45110.65657407408</v>
      </c>
      <c r="C1748" s="1" t="n">
        <v>45962</v>
      </c>
      <c r="D1748" t="inlineStr">
        <is>
          <t>SKÅNE LÄN</t>
        </is>
      </c>
      <c r="E1748" t="inlineStr">
        <is>
          <t>KRISTIANSTAD</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34369-2023</t>
        </is>
      </c>
      <c r="B1749" s="1" t="n">
        <v>45139.47817129629</v>
      </c>
      <c r="C1749" s="1" t="n">
        <v>45962</v>
      </c>
      <c r="D1749" t="inlineStr">
        <is>
          <t>SKÅNE LÄN</t>
        </is>
      </c>
      <c r="E1749" t="inlineStr">
        <is>
          <t>HÄSSLEHOLM</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3531-2023</t>
        </is>
      </c>
      <c r="B1750" s="1" t="n">
        <v>44950</v>
      </c>
      <c r="C1750" s="1" t="n">
        <v>45962</v>
      </c>
      <c r="D1750" t="inlineStr">
        <is>
          <t>SKÅNE LÄN</t>
        </is>
      </c>
      <c r="E1750" t="inlineStr">
        <is>
          <t>HÄSSLEHOLM</t>
        </is>
      </c>
      <c r="G1750" t="n">
        <v>10.1</v>
      </c>
      <c r="H1750" t="n">
        <v>0</v>
      </c>
      <c r="I1750" t="n">
        <v>0</v>
      </c>
      <c r="J1750" t="n">
        <v>0</v>
      </c>
      <c r="K1750" t="n">
        <v>0</v>
      </c>
      <c r="L1750" t="n">
        <v>0</v>
      </c>
      <c r="M1750" t="n">
        <v>0</v>
      </c>
      <c r="N1750" t="n">
        <v>0</v>
      </c>
      <c r="O1750" t="n">
        <v>0</v>
      </c>
      <c r="P1750" t="n">
        <v>0</v>
      </c>
      <c r="Q1750" t="n">
        <v>0</v>
      </c>
      <c r="R1750" s="2" t="inlineStr"/>
    </row>
    <row r="1751" ht="15" customHeight="1">
      <c r="A1751" t="inlineStr">
        <is>
          <t>A 2364-2024</t>
        </is>
      </c>
      <c r="B1751" s="1" t="n">
        <v>45310</v>
      </c>
      <c r="C1751" s="1" t="n">
        <v>45962</v>
      </c>
      <c r="D1751" t="inlineStr">
        <is>
          <t>SKÅNE LÄN</t>
        </is>
      </c>
      <c r="E1751" t="inlineStr">
        <is>
          <t>ÖSTRA GÖINGE</t>
        </is>
      </c>
      <c r="G1751" t="n">
        <v>7.7</v>
      </c>
      <c r="H1751" t="n">
        <v>0</v>
      </c>
      <c r="I1751" t="n">
        <v>0</v>
      </c>
      <c r="J1751" t="n">
        <v>0</v>
      </c>
      <c r="K1751" t="n">
        <v>0</v>
      </c>
      <c r="L1751" t="n">
        <v>0</v>
      </c>
      <c r="M1751" t="n">
        <v>0</v>
      </c>
      <c r="N1751" t="n">
        <v>0</v>
      </c>
      <c r="O1751" t="n">
        <v>0</v>
      </c>
      <c r="P1751" t="n">
        <v>0</v>
      </c>
      <c r="Q1751" t="n">
        <v>0</v>
      </c>
      <c r="R1751" s="2" t="inlineStr"/>
    </row>
    <row r="1752" ht="15" customHeight="1">
      <c r="A1752" t="inlineStr">
        <is>
          <t>A 33822-2022</t>
        </is>
      </c>
      <c r="B1752" s="1" t="n">
        <v>44790</v>
      </c>
      <c r="C1752" s="1" t="n">
        <v>45962</v>
      </c>
      <c r="D1752" t="inlineStr">
        <is>
          <t>SKÅNE LÄN</t>
        </is>
      </c>
      <c r="E1752" t="inlineStr">
        <is>
          <t>OSBY</t>
        </is>
      </c>
      <c r="G1752" t="n">
        <v>9.1</v>
      </c>
      <c r="H1752" t="n">
        <v>0</v>
      </c>
      <c r="I1752" t="n">
        <v>0</v>
      </c>
      <c r="J1752" t="n">
        <v>0</v>
      </c>
      <c r="K1752" t="n">
        <v>0</v>
      </c>
      <c r="L1752" t="n">
        <v>0</v>
      </c>
      <c r="M1752" t="n">
        <v>0</v>
      </c>
      <c r="N1752" t="n">
        <v>0</v>
      </c>
      <c r="O1752" t="n">
        <v>0</v>
      </c>
      <c r="P1752" t="n">
        <v>0</v>
      </c>
      <c r="Q1752" t="n">
        <v>0</v>
      </c>
      <c r="R1752" s="2" t="inlineStr"/>
    </row>
    <row r="1753" ht="15" customHeight="1">
      <c r="A1753" t="inlineStr">
        <is>
          <t>A 37967-2024</t>
        </is>
      </c>
      <c r="B1753" s="1" t="n">
        <v>45544.55668981482</v>
      </c>
      <c r="C1753" s="1" t="n">
        <v>45962</v>
      </c>
      <c r="D1753" t="inlineStr">
        <is>
          <t>SKÅNE LÄN</t>
        </is>
      </c>
      <c r="E1753" t="inlineStr">
        <is>
          <t>KLIPPAN</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15417-2022</t>
        </is>
      </c>
      <c r="B1754" s="1" t="n">
        <v>44659</v>
      </c>
      <c r="C1754" s="1" t="n">
        <v>45962</v>
      </c>
      <c r="D1754" t="inlineStr">
        <is>
          <t>SKÅNE LÄN</t>
        </is>
      </c>
      <c r="E1754" t="inlineStr">
        <is>
          <t>HÄSSLEHOLM</t>
        </is>
      </c>
      <c r="F1754" t="inlineStr">
        <is>
          <t>Kyrkan</t>
        </is>
      </c>
      <c r="G1754" t="n">
        <v>2.9</v>
      </c>
      <c r="H1754" t="n">
        <v>0</v>
      </c>
      <c r="I1754" t="n">
        <v>0</v>
      </c>
      <c r="J1754" t="n">
        <v>0</v>
      </c>
      <c r="K1754" t="n">
        <v>0</v>
      </c>
      <c r="L1754" t="n">
        <v>0</v>
      </c>
      <c r="M1754" t="n">
        <v>0</v>
      </c>
      <c r="N1754" t="n">
        <v>0</v>
      </c>
      <c r="O1754" t="n">
        <v>0</v>
      </c>
      <c r="P1754" t="n">
        <v>0</v>
      </c>
      <c r="Q1754" t="n">
        <v>0</v>
      </c>
      <c r="R1754" s="2" t="inlineStr"/>
    </row>
    <row r="1755" ht="15" customHeight="1">
      <c r="A1755" t="inlineStr">
        <is>
          <t>A 31709-2023</t>
        </is>
      </c>
      <c r="B1755" s="1" t="n">
        <v>45117</v>
      </c>
      <c r="C1755" s="1" t="n">
        <v>45962</v>
      </c>
      <c r="D1755" t="inlineStr">
        <is>
          <t>SKÅNE LÄN</t>
        </is>
      </c>
      <c r="E1755" t="inlineStr">
        <is>
          <t>ÄNGELHOLM</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44262-2021</t>
        </is>
      </c>
      <c r="B1756" s="1" t="n">
        <v>44434</v>
      </c>
      <c r="C1756" s="1" t="n">
        <v>45962</v>
      </c>
      <c r="D1756" t="inlineStr">
        <is>
          <t>SKÅNE LÄN</t>
        </is>
      </c>
      <c r="E1756" t="inlineStr">
        <is>
          <t>HÄSSLEHOLM</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23454-2023</t>
        </is>
      </c>
      <c r="B1757" s="1" t="n">
        <v>45076</v>
      </c>
      <c r="C1757" s="1" t="n">
        <v>45962</v>
      </c>
      <c r="D1757" t="inlineStr">
        <is>
          <t>SKÅNE LÄN</t>
        </is>
      </c>
      <c r="E1757" t="inlineStr">
        <is>
          <t>ÖSTRA GÖINGE</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34834-2023</t>
        </is>
      </c>
      <c r="B1758" s="1" t="n">
        <v>45141.7199537037</v>
      </c>
      <c r="C1758" s="1" t="n">
        <v>45962</v>
      </c>
      <c r="D1758" t="inlineStr">
        <is>
          <t>SKÅNE LÄN</t>
        </is>
      </c>
      <c r="E1758" t="inlineStr">
        <is>
          <t>HÄSSLEHOLM</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12842-2023</t>
        </is>
      </c>
      <c r="B1759" s="1" t="n">
        <v>45001</v>
      </c>
      <c r="C1759" s="1" t="n">
        <v>45962</v>
      </c>
      <c r="D1759" t="inlineStr">
        <is>
          <t>SKÅNE LÄN</t>
        </is>
      </c>
      <c r="E1759" t="inlineStr">
        <is>
          <t>HÖÖR</t>
        </is>
      </c>
      <c r="G1759" t="n">
        <v>1.2</v>
      </c>
      <c r="H1759" t="n">
        <v>0</v>
      </c>
      <c r="I1759" t="n">
        <v>0</v>
      </c>
      <c r="J1759" t="n">
        <v>0</v>
      </c>
      <c r="K1759" t="n">
        <v>0</v>
      </c>
      <c r="L1759" t="n">
        <v>0</v>
      </c>
      <c r="M1759" t="n">
        <v>0</v>
      </c>
      <c r="N1759" t="n">
        <v>0</v>
      </c>
      <c r="O1759" t="n">
        <v>0</v>
      </c>
      <c r="P1759" t="n">
        <v>0</v>
      </c>
      <c r="Q1759" t="n">
        <v>0</v>
      </c>
      <c r="R1759" s="2" t="inlineStr"/>
    </row>
    <row r="1760" ht="15" customHeight="1">
      <c r="A1760" t="inlineStr">
        <is>
          <t>A 12843-2023</t>
        </is>
      </c>
      <c r="B1760" s="1" t="n">
        <v>45001.48423611111</v>
      </c>
      <c r="C1760" s="1" t="n">
        <v>45962</v>
      </c>
      <c r="D1760" t="inlineStr">
        <is>
          <t>SKÅNE LÄN</t>
        </is>
      </c>
      <c r="E1760" t="inlineStr">
        <is>
          <t>HÄSSLEHOLM</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50659-2023</t>
        </is>
      </c>
      <c r="B1761" s="1" t="n">
        <v>45217</v>
      </c>
      <c r="C1761" s="1" t="n">
        <v>45962</v>
      </c>
      <c r="D1761" t="inlineStr">
        <is>
          <t>SKÅNE LÄN</t>
        </is>
      </c>
      <c r="E1761" t="inlineStr">
        <is>
          <t>HÄSSLEHOLM</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33486-2022</t>
        </is>
      </c>
      <c r="B1762" s="1" t="n">
        <v>44788</v>
      </c>
      <c r="C1762" s="1" t="n">
        <v>45962</v>
      </c>
      <c r="D1762" t="inlineStr">
        <is>
          <t>SKÅNE LÄN</t>
        </is>
      </c>
      <c r="E1762" t="inlineStr">
        <is>
          <t>OSBY</t>
        </is>
      </c>
      <c r="G1762" t="n">
        <v>7.8</v>
      </c>
      <c r="H1762" t="n">
        <v>0</v>
      </c>
      <c r="I1762" t="n">
        <v>0</v>
      </c>
      <c r="J1762" t="n">
        <v>0</v>
      </c>
      <c r="K1762" t="n">
        <v>0</v>
      </c>
      <c r="L1762" t="n">
        <v>0</v>
      </c>
      <c r="M1762" t="n">
        <v>0</v>
      </c>
      <c r="N1762" t="n">
        <v>0</v>
      </c>
      <c r="O1762" t="n">
        <v>0</v>
      </c>
      <c r="P1762" t="n">
        <v>0</v>
      </c>
      <c r="Q1762" t="n">
        <v>0</v>
      </c>
      <c r="R1762" s="2" t="inlineStr"/>
    </row>
    <row r="1763" ht="15" customHeight="1">
      <c r="A1763" t="inlineStr">
        <is>
          <t>A 24647-2023</t>
        </is>
      </c>
      <c r="B1763" s="1" t="n">
        <v>45084</v>
      </c>
      <c r="C1763" s="1" t="n">
        <v>45962</v>
      </c>
      <c r="D1763" t="inlineStr">
        <is>
          <t>SKÅNE LÄN</t>
        </is>
      </c>
      <c r="E1763" t="inlineStr">
        <is>
          <t>KLIPPAN</t>
        </is>
      </c>
      <c r="F1763" t="inlineStr">
        <is>
          <t>Övriga Aktiebolag</t>
        </is>
      </c>
      <c r="G1763" t="n">
        <v>11.6</v>
      </c>
      <c r="H1763" t="n">
        <v>0</v>
      </c>
      <c r="I1763" t="n">
        <v>0</v>
      </c>
      <c r="J1763" t="n">
        <v>0</v>
      </c>
      <c r="K1763" t="n">
        <v>0</v>
      </c>
      <c r="L1763" t="n">
        <v>0</v>
      </c>
      <c r="M1763" t="n">
        <v>0</v>
      </c>
      <c r="N1763" t="n">
        <v>0</v>
      </c>
      <c r="O1763" t="n">
        <v>0</v>
      </c>
      <c r="P1763" t="n">
        <v>0</v>
      </c>
      <c r="Q1763" t="n">
        <v>0</v>
      </c>
      <c r="R1763" s="2" t="inlineStr"/>
    </row>
    <row r="1764" ht="15" customHeight="1">
      <c r="A1764" t="inlineStr">
        <is>
          <t>A 12978-2024</t>
        </is>
      </c>
      <c r="B1764" s="1" t="n">
        <v>45385</v>
      </c>
      <c r="C1764" s="1" t="n">
        <v>45962</v>
      </c>
      <c r="D1764" t="inlineStr">
        <is>
          <t>SKÅNE LÄN</t>
        </is>
      </c>
      <c r="E1764" t="inlineStr">
        <is>
          <t>OSBY</t>
        </is>
      </c>
      <c r="G1764" t="n">
        <v>5</v>
      </c>
      <c r="H1764" t="n">
        <v>0</v>
      </c>
      <c r="I1764" t="n">
        <v>0</v>
      </c>
      <c r="J1764" t="n">
        <v>0</v>
      </c>
      <c r="K1764" t="n">
        <v>0</v>
      </c>
      <c r="L1764" t="n">
        <v>0</v>
      </c>
      <c r="M1764" t="n">
        <v>0</v>
      </c>
      <c r="N1764" t="n">
        <v>0</v>
      </c>
      <c r="O1764" t="n">
        <v>0</v>
      </c>
      <c r="P1764" t="n">
        <v>0</v>
      </c>
      <c r="Q1764" t="n">
        <v>0</v>
      </c>
      <c r="R1764" s="2" t="inlineStr"/>
    </row>
    <row r="1765" ht="15" customHeight="1">
      <c r="A1765" t="inlineStr">
        <is>
          <t>A 13808-2021</t>
        </is>
      </c>
      <c r="B1765" s="1" t="n">
        <v>44276</v>
      </c>
      <c r="C1765" s="1" t="n">
        <v>45962</v>
      </c>
      <c r="D1765" t="inlineStr">
        <is>
          <t>SKÅNE LÄN</t>
        </is>
      </c>
      <c r="E1765" t="inlineStr">
        <is>
          <t>HÄSSLEHOLM</t>
        </is>
      </c>
      <c r="G1765" t="n">
        <v>10.3</v>
      </c>
      <c r="H1765" t="n">
        <v>0</v>
      </c>
      <c r="I1765" t="n">
        <v>0</v>
      </c>
      <c r="J1765" t="n">
        <v>0</v>
      </c>
      <c r="K1765" t="n">
        <v>0</v>
      </c>
      <c r="L1765" t="n">
        <v>0</v>
      </c>
      <c r="M1765" t="n">
        <v>0</v>
      </c>
      <c r="N1765" t="n">
        <v>0</v>
      </c>
      <c r="O1765" t="n">
        <v>0</v>
      </c>
      <c r="P1765" t="n">
        <v>0</v>
      </c>
      <c r="Q1765" t="n">
        <v>0</v>
      </c>
      <c r="R1765" s="2" t="inlineStr"/>
    </row>
    <row r="1766" ht="15" customHeight="1">
      <c r="A1766" t="inlineStr">
        <is>
          <t>A 5523-2022</t>
        </is>
      </c>
      <c r="B1766" s="1" t="n">
        <v>44593</v>
      </c>
      <c r="C1766" s="1" t="n">
        <v>45962</v>
      </c>
      <c r="D1766" t="inlineStr">
        <is>
          <t>SKÅNE LÄN</t>
        </is>
      </c>
      <c r="E1766" t="inlineStr">
        <is>
          <t>KLIPPAN</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2684-2024</t>
        </is>
      </c>
      <c r="B1767" s="1" t="n">
        <v>45314</v>
      </c>
      <c r="C1767" s="1" t="n">
        <v>45962</v>
      </c>
      <c r="D1767" t="inlineStr">
        <is>
          <t>SKÅNE LÄN</t>
        </is>
      </c>
      <c r="E1767" t="inlineStr">
        <is>
          <t>PERSTORP</t>
        </is>
      </c>
      <c r="F1767" t="inlineStr">
        <is>
          <t>Övriga Aktiebolag</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47647-2024</t>
        </is>
      </c>
      <c r="B1768" s="1" t="n">
        <v>45588</v>
      </c>
      <c r="C1768" s="1" t="n">
        <v>45962</v>
      </c>
      <c r="D1768" t="inlineStr">
        <is>
          <t>SKÅNE LÄN</t>
        </is>
      </c>
      <c r="E1768" t="inlineStr">
        <is>
          <t>HÄSSLEHOLM</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26946-2022</t>
        </is>
      </c>
      <c r="B1769" s="1" t="n">
        <v>44740.6428125</v>
      </c>
      <c r="C1769" s="1" t="n">
        <v>45962</v>
      </c>
      <c r="D1769" t="inlineStr">
        <is>
          <t>SKÅNE LÄN</t>
        </is>
      </c>
      <c r="E1769" t="inlineStr">
        <is>
          <t>OSBY</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72261-2021</t>
        </is>
      </c>
      <c r="B1770" s="1" t="n">
        <v>44545.31795138889</v>
      </c>
      <c r="C1770" s="1" t="n">
        <v>45962</v>
      </c>
      <c r="D1770" t="inlineStr">
        <is>
          <t>SKÅNE LÄN</t>
        </is>
      </c>
      <c r="E1770" t="inlineStr">
        <is>
          <t>ÖRKELLJUNGA</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48627-2023</t>
        </is>
      </c>
      <c r="B1771" s="1" t="n">
        <v>45208.57371527778</v>
      </c>
      <c r="C1771" s="1" t="n">
        <v>45962</v>
      </c>
      <c r="D1771" t="inlineStr">
        <is>
          <t>SKÅNE LÄN</t>
        </is>
      </c>
      <c r="E1771" t="inlineStr">
        <is>
          <t>HÄSSLEHOLM</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67801-2021</t>
        </is>
      </c>
      <c r="B1772" s="1" t="n">
        <v>44525</v>
      </c>
      <c r="C1772" s="1" t="n">
        <v>45962</v>
      </c>
      <c r="D1772" t="inlineStr">
        <is>
          <t>SKÅNE LÄN</t>
        </is>
      </c>
      <c r="E1772" t="inlineStr">
        <is>
          <t>HÄSSLEHOLM</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2816-2025</t>
        </is>
      </c>
      <c r="B1773" s="1" t="n">
        <v>45677</v>
      </c>
      <c r="C1773" s="1" t="n">
        <v>45962</v>
      </c>
      <c r="D1773" t="inlineStr">
        <is>
          <t>SKÅNE LÄN</t>
        </is>
      </c>
      <c r="E1773" t="inlineStr">
        <is>
          <t>HÖRBY</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11607-2025</t>
        </is>
      </c>
      <c r="B1774" s="1" t="n">
        <v>45727</v>
      </c>
      <c r="C1774" s="1" t="n">
        <v>45962</v>
      </c>
      <c r="D1774" t="inlineStr">
        <is>
          <t>SKÅNE LÄN</t>
        </is>
      </c>
      <c r="E1774" t="inlineStr">
        <is>
          <t>HÄSSLEHOLM</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19257-2023</t>
        </is>
      </c>
      <c r="B1775" s="1" t="n">
        <v>45049</v>
      </c>
      <c r="C1775" s="1" t="n">
        <v>45962</v>
      </c>
      <c r="D1775" t="inlineStr">
        <is>
          <t>SKÅNE LÄN</t>
        </is>
      </c>
      <c r="E1775" t="inlineStr">
        <is>
          <t>KRISTIANSTAD</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63931-2023</t>
        </is>
      </c>
      <c r="B1776" s="1" t="n">
        <v>45278</v>
      </c>
      <c r="C1776" s="1" t="n">
        <v>45962</v>
      </c>
      <c r="D1776" t="inlineStr">
        <is>
          <t>SKÅNE LÄN</t>
        </is>
      </c>
      <c r="E1776" t="inlineStr">
        <is>
          <t>KRISTIANSTAD</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61875-2023</t>
        </is>
      </c>
      <c r="B1777" s="1" t="n">
        <v>45265</v>
      </c>
      <c r="C1777" s="1" t="n">
        <v>45962</v>
      </c>
      <c r="D1777" t="inlineStr">
        <is>
          <t>SKÅNE LÄN</t>
        </is>
      </c>
      <c r="E1777" t="inlineStr">
        <is>
          <t>SJÖBO</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63942-2023</t>
        </is>
      </c>
      <c r="B1778" s="1" t="n">
        <v>45278</v>
      </c>
      <c r="C1778" s="1" t="n">
        <v>45962</v>
      </c>
      <c r="D1778" t="inlineStr">
        <is>
          <t>SKÅNE LÄN</t>
        </is>
      </c>
      <c r="E1778" t="inlineStr">
        <is>
          <t>KRISTIANSTAD</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13952-2025</t>
        </is>
      </c>
      <c r="B1779" s="1" t="n">
        <v>45737</v>
      </c>
      <c r="C1779" s="1" t="n">
        <v>45962</v>
      </c>
      <c r="D1779" t="inlineStr">
        <is>
          <t>SKÅNE LÄN</t>
        </is>
      </c>
      <c r="E1779" t="inlineStr">
        <is>
          <t>KRISTIANSTAD</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13972-2025</t>
        </is>
      </c>
      <c r="B1780" s="1" t="n">
        <v>45738.65178240741</v>
      </c>
      <c r="C1780" s="1" t="n">
        <v>45962</v>
      </c>
      <c r="D1780" t="inlineStr">
        <is>
          <t>SKÅNE LÄN</t>
        </is>
      </c>
      <c r="E1780" t="inlineStr">
        <is>
          <t>KRISTIANSTAD</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2090-2023</t>
        </is>
      </c>
      <c r="B1781" s="1" t="n">
        <v>44939</v>
      </c>
      <c r="C1781" s="1" t="n">
        <v>45962</v>
      </c>
      <c r="D1781" t="inlineStr">
        <is>
          <t>SKÅNE LÄN</t>
        </is>
      </c>
      <c r="E1781" t="inlineStr">
        <is>
          <t>ÖRKELLJUNGA</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2144-2023</t>
        </is>
      </c>
      <c r="B1782" s="1" t="n">
        <v>44940.79054398148</v>
      </c>
      <c r="C1782" s="1" t="n">
        <v>45962</v>
      </c>
      <c r="D1782" t="inlineStr">
        <is>
          <t>SKÅNE LÄN</t>
        </is>
      </c>
      <c r="E1782" t="inlineStr">
        <is>
          <t>HÄSSLEHOLM</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62425-2020</t>
        </is>
      </c>
      <c r="B1783" s="1" t="n">
        <v>44159</v>
      </c>
      <c r="C1783" s="1" t="n">
        <v>45962</v>
      </c>
      <c r="D1783" t="inlineStr">
        <is>
          <t>SKÅNE LÄN</t>
        </is>
      </c>
      <c r="E1783" t="inlineStr">
        <is>
          <t>SVALÖV</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2479-2024</t>
        </is>
      </c>
      <c r="B1784" s="1" t="n">
        <v>45313.40148148148</v>
      </c>
      <c r="C1784" s="1" t="n">
        <v>45962</v>
      </c>
      <c r="D1784" t="inlineStr">
        <is>
          <t>SKÅNE LÄN</t>
        </is>
      </c>
      <c r="E1784" t="inlineStr">
        <is>
          <t>HÄSSLEHOLM</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15359-2023</t>
        </is>
      </c>
      <c r="B1785" s="1" t="n">
        <v>45019</v>
      </c>
      <c r="C1785" s="1" t="n">
        <v>45962</v>
      </c>
      <c r="D1785" t="inlineStr">
        <is>
          <t>SKÅNE LÄN</t>
        </is>
      </c>
      <c r="E1785" t="inlineStr">
        <is>
          <t>OSBY</t>
        </is>
      </c>
      <c r="G1785" t="n">
        <v>5.4</v>
      </c>
      <c r="H1785" t="n">
        <v>0</v>
      </c>
      <c r="I1785" t="n">
        <v>0</v>
      </c>
      <c r="J1785" t="n">
        <v>0</v>
      </c>
      <c r="K1785" t="n">
        <v>0</v>
      </c>
      <c r="L1785" t="n">
        <v>0</v>
      </c>
      <c r="M1785" t="n">
        <v>0</v>
      </c>
      <c r="N1785" t="n">
        <v>0</v>
      </c>
      <c r="O1785" t="n">
        <v>0</v>
      </c>
      <c r="P1785" t="n">
        <v>0</v>
      </c>
      <c r="Q1785" t="n">
        <v>0</v>
      </c>
      <c r="R1785" s="2" t="inlineStr"/>
    </row>
    <row r="1786" ht="15" customHeight="1">
      <c r="A1786" t="inlineStr">
        <is>
          <t>A 17425-2022</t>
        </is>
      </c>
      <c r="B1786" s="1" t="n">
        <v>44679.2472337963</v>
      </c>
      <c r="C1786" s="1" t="n">
        <v>45962</v>
      </c>
      <c r="D1786" t="inlineStr">
        <is>
          <t>SKÅNE LÄN</t>
        </is>
      </c>
      <c r="E1786" t="inlineStr">
        <is>
          <t>KLIPPAN</t>
        </is>
      </c>
      <c r="G1786" t="n">
        <v>5.1</v>
      </c>
      <c r="H1786" t="n">
        <v>0</v>
      </c>
      <c r="I1786" t="n">
        <v>0</v>
      </c>
      <c r="J1786" t="n">
        <v>0</v>
      </c>
      <c r="K1786" t="n">
        <v>0</v>
      </c>
      <c r="L1786" t="n">
        <v>0</v>
      </c>
      <c r="M1786" t="n">
        <v>0</v>
      </c>
      <c r="N1786" t="n">
        <v>0</v>
      </c>
      <c r="O1786" t="n">
        <v>0</v>
      </c>
      <c r="P1786" t="n">
        <v>0</v>
      </c>
      <c r="Q1786" t="n">
        <v>0</v>
      </c>
      <c r="R1786" s="2" t="inlineStr"/>
    </row>
    <row r="1787" ht="15" customHeight="1">
      <c r="A1787" t="inlineStr">
        <is>
          <t>A 720-2025</t>
        </is>
      </c>
      <c r="B1787" s="1" t="n">
        <v>45665.3744212963</v>
      </c>
      <c r="C1787" s="1" t="n">
        <v>45962</v>
      </c>
      <c r="D1787" t="inlineStr">
        <is>
          <t>SKÅNE LÄN</t>
        </is>
      </c>
      <c r="E1787" t="inlineStr">
        <is>
          <t>HÄSSLEHOLM</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31616-2024</t>
        </is>
      </c>
      <c r="B1788" s="1" t="n">
        <v>45506</v>
      </c>
      <c r="C1788" s="1" t="n">
        <v>45962</v>
      </c>
      <c r="D1788" t="inlineStr">
        <is>
          <t>SKÅNE LÄN</t>
        </is>
      </c>
      <c r="E1788" t="inlineStr">
        <is>
          <t>KRISTIANSTAD</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31619-2024</t>
        </is>
      </c>
      <c r="B1789" s="1" t="n">
        <v>45506</v>
      </c>
      <c r="C1789" s="1" t="n">
        <v>45962</v>
      </c>
      <c r="D1789" t="inlineStr">
        <is>
          <t>SKÅNE LÄN</t>
        </is>
      </c>
      <c r="E1789" t="inlineStr">
        <is>
          <t>KRISTIANSTAD</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6237-2021</t>
        </is>
      </c>
      <c r="B1790" s="1" t="n">
        <v>44235</v>
      </c>
      <c r="C1790" s="1" t="n">
        <v>45962</v>
      </c>
      <c r="D1790" t="inlineStr">
        <is>
          <t>SKÅNE LÄN</t>
        </is>
      </c>
      <c r="E1790" t="inlineStr">
        <is>
          <t>ÖRKELLJUNGA</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18476-2025</t>
        </is>
      </c>
      <c r="B1791" s="1" t="n">
        <v>45762.7953587963</v>
      </c>
      <c r="C1791" s="1" t="n">
        <v>45962</v>
      </c>
      <c r="D1791" t="inlineStr">
        <is>
          <t>SKÅNE LÄN</t>
        </is>
      </c>
      <c r="E1791" t="inlineStr">
        <is>
          <t>KRISTIANSTAD</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26397-2023</t>
        </is>
      </c>
      <c r="B1792" s="1" t="n">
        <v>45087</v>
      </c>
      <c r="C1792" s="1" t="n">
        <v>45962</v>
      </c>
      <c r="D1792" t="inlineStr">
        <is>
          <t>SKÅNE LÄN</t>
        </is>
      </c>
      <c r="E1792" t="inlineStr">
        <is>
          <t>HÄSSLEHOLM</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10714-2024</t>
        </is>
      </c>
      <c r="B1793" s="1" t="n">
        <v>45369.44337962963</v>
      </c>
      <c r="C1793" s="1" t="n">
        <v>45962</v>
      </c>
      <c r="D1793" t="inlineStr">
        <is>
          <t>SKÅNE LÄN</t>
        </is>
      </c>
      <c r="E1793" t="inlineStr">
        <is>
          <t>OSBY</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32106-2023</t>
        </is>
      </c>
      <c r="B1794" s="1" t="n">
        <v>45119</v>
      </c>
      <c r="C1794" s="1" t="n">
        <v>45962</v>
      </c>
      <c r="D1794" t="inlineStr">
        <is>
          <t>SKÅNE LÄN</t>
        </is>
      </c>
      <c r="E1794" t="inlineStr">
        <is>
          <t>KRISTIANSTAD</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37141-2021</t>
        </is>
      </c>
      <c r="B1795" s="1" t="n">
        <v>44396</v>
      </c>
      <c r="C1795" s="1" t="n">
        <v>45962</v>
      </c>
      <c r="D1795" t="inlineStr">
        <is>
          <t>SKÅNE LÄN</t>
        </is>
      </c>
      <c r="E1795" t="inlineStr">
        <is>
          <t>HÄSSLEHOLM</t>
        </is>
      </c>
      <c r="G1795" t="n">
        <v>12.8</v>
      </c>
      <c r="H1795" t="n">
        <v>0</v>
      </c>
      <c r="I1795" t="n">
        <v>0</v>
      </c>
      <c r="J1795" t="n">
        <v>0</v>
      </c>
      <c r="K1795" t="n">
        <v>0</v>
      </c>
      <c r="L1795" t="n">
        <v>0</v>
      </c>
      <c r="M1795" t="n">
        <v>0</v>
      </c>
      <c r="N1795" t="n">
        <v>0</v>
      </c>
      <c r="O1795" t="n">
        <v>0</v>
      </c>
      <c r="P1795" t="n">
        <v>0</v>
      </c>
      <c r="Q1795" t="n">
        <v>0</v>
      </c>
      <c r="R1795" s="2" t="inlineStr"/>
    </row>
    <row r="1796" ht="15" customHeight="1">
      <c r="A1796" t="inlineStr">
        <is>
          <t>A 3258-2023</t>
        </is>
      </c>
      <c r="B1796" s="1" t="n">
        <v>44948</v>
      </c>
      <c r="C1796" s="1" t="n">
        <v>45962</v>
      </c>
      <c r="D1796" t="inlineStr">
        <is>
          <t>SKÅNE LÄN</t>
        </is>
      </c>
      <c r="E1796" t="inlineStr">
        <is>
          <t>SJÖBO</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21949-2021</t>
        </is>
      </c>
      <c r="B1797" s="1" t="n">
        <v>44323.26083333333</v>
      </c>
      <c r="C1797" s="1" t="n">
        <v>45962</v>
      </c>
      <c r="D1797" t="inlineStr">
        <is>
          <t>SKÅNE LÄN</t>
        </is>
      </c>
      <c r="E1797" t="inlineStr">
        <is>
          <t>PERSTORP</t>
        </is>
      </c>
      <c r="G1797" t="n">
        <v>3.5</v>
      </c>
      <c r="H1797" t="n">
        <v>0</v>
      </c>
      <c r="I1797" t="n">
        <v>0</v>
      </c>
      <c r="J1797" t="n">
        <v>0</v>
      </c>
      <c r="K1797" t="n">
        <v>0</v>
      </c>
      <c r="L1797" t="n">
        <v>0</v>
      </c>
      <c r="M1797" t="n">
        <v>0</v>
      </c>
      <c r="N1797" t="n">
        <v>0</v>
      </c>
      <c r="O1797" t="n">
        <v>0</v>
      </c>
      <c r="P1797" t="n">
        <v>0</v>
      </c>
      <c r="Q1797" t="n">
        <v>0</v>
      </c>
      <c r="R1797" s="2" t="inlineStr"/>
    </row>
    <row r="1798" ht="15" customHeight="1">
      <c r="A1798" t="inlineStr">
        <is>
          <t>A 3534-2025</t>
        </is>
      </c>
      <c r="B1798" s="1" t="n">
        <v>45680</v>
      </c>
      <c r="C1798" s="1" t="n">
        <v>45962</v>
      </c>
      <c r="D1798" t="inlineStr">
        <is>
          <t>SKÅNE LÄN</t>
        </is>
      </c>
      <c r="E1798" t="inlineStr">
        <is>
          <t>HÖRBY</t>
        </is>
      </c>
      <c r="F1798" t="inlineStr">
        <is>
          <t>Kyrkan</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1119-2024</t>
        </is>
      </c>
      <c r="B1799" s="1" t="n">
        <v>45302</v>
      </c>
      <c r="C1799" s="1" t="n">
        <v>45962</v>
      </c>
      <c r="D1799" t="inlineStr">
        <is>
          <t>SKÅNE LÄN</t>
        </is>
      </c>
      <c r="E1799" t="inlineStr">
        <is>
          <t>HÄSSLEHOLM</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7202-2022</t>
        </is>
      </c>
      <c r="B1800" s="1" t="n">
        <v>44606</v>
      </c>
      <c r="C1800" s="1" t="n">
        <v>45962</v>
      </c>
      <c r="D1800" t="inlineStr">
        <is>
          <t>SKÅNE LÄN</t>
        </is>
      </c>
      <c r="E1800" t="inlineStr">
        <is>
          <t>HÄSSLEHOLM</t>
        </is>
      </c>
      <c r="G1800" t="n">
        <v>4.7</v>
      </c>
      <c r="H1800" t="n">
        <v>0</v>
      </c>
      <c r="I1800" t="n">
        <v>0</v>
      </c>
      <c r="J1800" t="n">
        <v>0</v>
      </c>
      <c r="K1800" t="n">
        <v>0</v>
      </c>
      <c r="L1800" t="n">
        <v>0</v>
      </c>
      <c r="M1800" t="n">
        <v>0</v>
      </c>
      <c r="N1800" t="n">
        <v>0</v>
      </c>
      <c r="O1800" t="n">
        <v>0</v>
      </c>
      <c r="P1800" t="n">
        <v>0</v>
      </c>
      <c r="Q1800" t="n">
        <v>0</v>
      </c>
      <c r="R1800" s="2" t="inlineStr"/>
    </row>
    <row r="1801" ht="15" customHeight="1">
      <c r="A1801" t="inlineStr">
        <is>
          <t>A 58888-2024</t>
        </is>
      </c>
      <c r="B1801" s="1" t="n">
        <v>45636.45962962963</v>
      </c>
      <c r="C1801" s="1" t="n">
        <v>45962</v>
      </c>
      <c r="D1801" t="inlineStr">
        <is>
          <t>SKÅNE LÄN</t>
        </is>
      </c>
      <c r="E1801" t="inlineStr">
        <is>
          <t>HÄSSLEHOLM</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1566-2024</t>
        </is>
      </c>
      <c r="B1802" s="1" t="n">
        <v>45306</v>
      </c>
      <c r="C1802" s="1" t="n">
        <v>45962</v>
      </c>
      <c r="D1802" t="inlineStr">
        <is>
          <t>SKÅNE LÄN</t>
        </is>
      </c>
      <c r="E1802" t="inlineStr">
        <is>
          <t>BROMÖLLA</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8665-2022</t>
        </is>
      </c>
      <c r="B1803" s="1" t="n">
        <v>44613</v>
      </c>
      <c r="C1803" s="1" t="n">
        <v>45962</v>
      </c>
      <c r="D1803" t="inlineStr">
        <is>
          <t>SKÅNE LÄN</t>
        </is>
      </c>
      <c r="E1803" t="inlineStr">
        <is>
          <t>ÄNGELHOLM</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1592-2024</t>
        </is>
      </c>
      <c r="B1804" s="1" t="n">
        <v>45306.58594907408</v>
      </c>
      <c r="C1804" s="1" t="n">
        <v>45962</v>
      </c>
      <c r="D1804" t="inlineStr">
        <is>
          <t>SKÅNE LÄN</t>
        </is>
      </c>
      <c r="E1804" t="inlineStr">
        <is>
          <t>SVALÖV</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62300-2020</t>
        </is>
      </c>
      <c r="B1805" s="1" t="n">
        <v>44158</v>
      </c>
      <c r="C1805" s="1" t="n">
        <v>45962</v>
      </c>
      <c r="D1805" t="inlineStr">
        <is>
          <t>SKÅNE LÄN</t>
        </is>
      </c>
      <c r="E1805" t="inlineStr">
        <is>
          <t>SVEDALA</t>
        </is>
      </c>
      <c r="G1805" t="n">
        <v>2.8</v>
      </c>
      <c r="H1805" t="n">
        <v>0</v>
      </c>
      <c r="I1805" t="n">
        <v>0</v>
      </c>
      <c r="J1805" t="n">
        <v>0</v>
      </c>
      <c r="K1805" t="n">
        <v>0</v>
      </c>
      <c r="L1805" t="n">
        <v>0</v>
      </c>
      <c r="M1805" t="n">
        <v>0</v>
      </c>
      <c r="N1805" t="n">
        <v>0</v>
      </c>
      <c r="O1805" t="n">
        <v>0</v>
      </c>
      <c r="P1805" t="n">
        <v>0</v>
      </c>
      <c r="Q1805" t="n">
        <v>0</v>
      </c>
      <c r="R1805" s="2" t="inlineStr"/>
    </row>
    <row r="1806" ht="15" customHeight="1">
      <c r="A1806" t="inlineStr">
        <is>
          <t>A 16334-2024</t>
        </is>
      </c>
      <c r="B1806" s="1" t="n">
        <v>45407.54856481482</v>
      </c>
      <c r="C1806" s="1" t="n">
        <v>45962</v>
      </c>
      <c r="D1806" t="inlineStr">
        <is>
          <t>SKÅNE LÄN</t>
        </is>
      </c>
      <c r="E1806" t="inlineStr">
        <is>
          <t>HÄSSLEHOLM</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60-2024</t>
        </is>
      </c>
      <c r="B1807" s="1" t="n">
        <v>45293</v>
      </c>
      <c r="C1807" s="1" t="n">
        <v>45962</v>
      </c>
      <c r="D1807" t="inlineStr">
        <is>
          <t>SKÅNE LÄN</t>
        </is>
      </c>
      <c r="E1807" t="inlineStr">
        <is>
          <t>ÄNGELHOLM</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27544-2024</t>
        </is>
      </c>
      <c r="B1808" s="1" t="n">
        <v>45474</v>
      </c>
      <c r="C1808" s="1" t="n">
        <v>45962</v>
      </c>
      <c r="D1808" t="inlineStr">
        <is>
          <t>SKÅNE LÄN</t>
        </is>
      </c>
      <c r="E1808" t="inlineStr">
        <is>
          <t>ÄNGELHOLM</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3663-2024</t>
        </is>
      </c>
      <c r="B1809" s="1" t="n">
        <v>45321.34775462963</v>
      </c>
      <c r="C1809" s="1" t="n">
        <v>45962</v>
      </c>
      <c r="D1809" t="inlineStr">
        <is>
          <t>SKÅNE LÄN</t>
        </is>
      </c>
      <c r="E1809" t="inlineStr">
        <is>
          <t>HÄSSLEHOLM</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34723-2023</t>
        </is>
      </c>
      <c r="B1810" s="1" t="n">
        <v>45141</v>
      </c>
      <c r="C1810" s="1" t="n">
        <v>45962</v>
      </c>
      <c r="D1810" t="inlineStr">
        <is>
          <t>SKÅNE LÄN</t>
        </is>
      </c>
      <c r="E1810" t="inlineStr">
        <is>
          <t>KRISTIANSTAD</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34730-2023</t>
        </is>
      </c>
      <c r="B1811" s="1" t="n">
        <v>45141.35717592593</v>
      </c>
      <c r="C1811" s="1" t="n">
        <v>45962</v>
      </c>
      <c r="D1811" t="inlineStr">
        <is>
          <t>SKÅNE LÄN</t>
        </is>
      </c>
      <c r="E1811" t="inlineStr">
        <is>
          <t>KRISTIANSTAD</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12182-2025</t>
        </is>
      </c>
      <c r="B1812" s="1" t="n">
        <v>45729</v>
      </c>
      <c r="C1812" s="1" t="n">
        <v>45962</v>
      </c>
      <c r="D1812" t="inlineStr">
        <is>
          <t>SKÅNE LÄN</t>
        </is>
      </c>
      <c r="E1812" t="inlineStr">
        <is>
          <t>HÄSSLEHOLM</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4196-2025</t>
        </is>
      </c>
      <c r="B1813" s="1" t="n">
        <v>45685.45268518518</v>
      </c>
      <c r="C1813" s="1" t="n">
        <v>45962</v>
      </c>
      <c r="D1813" t="inlineStr">
        <is>
          <t>SKÅNE LÄN</t>
        </is>
      </c>
      <c r="E1813" t="inlineStr">
        <is>
          <t>ÖSTRA GÖINGE</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49233-2022</t>
        </is>
      </c>
      <c r="B1814" s="1" t="n">
        <v>44858</v>
      </c>
      <c r="C1814" s="1" t="n">
        <v>45962</v>
      </c>
      <c r="D1814" t="inlineStr">
        <is>
          <t>SKÅNE LÄN</t>
        </is>
      </c>
      <c r="E1814" t="inlineStr">
        <is>
          <t>KRISTIANSTAD</t>
        </is>
      </c>
      <c r="G1814" t="n">
        <v>7.1</v>
      </c>
      <c r="H1814" t="n">
        <v>0</v>
      </c>
      <c r="I1814" t="n">
        <v>0</v>
      </c>
      <c r="J1814" t="n">
        <v>0</v>
      </c>
      <c r="K1814" t="n">
        <v>0</v>
      </c>
      <c r="L1814" t="n">
        <v>0</v>
      </c>
      <c r="M1814" t="n">
        <v>0</v>
      </c>
      <c r="N1814" t="n">
        <v>0</v>
      </c>
      <c r="O1814" t="n">
        <v>0</v>
      </c>
      <c r="P1814" t="n">
        <v>0</v>
      </c>
      <c r="Q1814" t="n">
        <v>0</v>
      </c>
      <c r="R1814" s="2" t="inlineStr"/>
    </row>
    <row r="1815" ht="15" customHeight="1">
      <c r="A1815" t="inlineStr">
        <is>
          <t>A 34776-2023</t>
        </is>
      </c>
      <c r="B1815" s="1" t="n">
        <v>45140</v>
      </c>
      <c r="C1815" s="1" t="n">
        <v>45962</v>
      </c>
      <c r="D1815" t="inlineStr">
        <is>
          <t>SKÅNE LÄN</t>
        </is>
      </c>
      <c r="E1815" t="inlineStr">
        <is>
          <t>SJÖBO</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20595-2024</t>
        </is>
      </c>
      <c r="B1816" s="1" t="n">
        <v>45436</v>
      </c>
      <c r="C1816" s="1" t="n">
        <v>45962</v>
      </c>
      <c r="D1816" t="inlineStr">
        <is>
          <t>SKÅNE LÄN</t>
        </is>
      </c>
      <c r="E1816" t="inlineStr">
        <is>
          <t>HÖRBY</t>
        </is>
      </c>
      <c r="F1816" t="inlineStr">
        <is>
          <t>Sveaskog</t>
        </is>
      </c>
      <c r="G1816" t="n">
        <v>3.5</v>
      </c>
      <c r="H1816" t="n">
        <v>0</v>
      </c>
      <c r="I1816" t="n">
        <v>0</v>
      </c>
      <c r="J1816" t="n">
        <v>0</v>
      </c>
      <c r="K1816" t="n">
        <v>0</v>
      </c>
      <c r="L1816" t="n">
        <v>0</v>
      </c>
      <c r="M1816" t="n">
        <v>0</v>
      </c>
      <c r="N1816" t="n">
        <v>0</v>
      </c>
      <c r="O1816" t="n">
        <v>0</v>
      </c>
      <c r="P1816" t="n">
        <v>0</v>
      </c>
      <c r="Q1816" t="n">
        <v>0</v>
      </c>
      <c r="R1816" s="2" t="inlineStr"/>
    </row>
    <row r="1817" ht="15" customHeight="1">
      <c r="A1817" t="inlineStr">
        <is>
          <t>A 20601-2024</t>
        </is>
      </c>
      <c r="B1817" s="1" t="n">
        <v>45436.43732638889</v>
      </c>
      <c r="C1817" s="1" t="n">
        <v>45962</v>
      </c>
      <c r="D1817" t="inlineStr">
        <is>
          <t>SKÅNE LÄN</t>
        </is>
      </c>
      <c r="E1817" t="inlineStr">
        <is>
          <t>OSBY</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17043-2024</t>
        </is>
      </c>
      <c r="B1818" s="1" t="n">
        <v>45412</v>
      </c>
      <c r="C1818" s="1" t="n">
        <v>45962</v>
      </c>
      <c r="D1818" t="inlineStr">
        <is>
          <t>SKÅNE LÄN</t>
        </is>
      </c>
      <c r="E1818" t="inlineStr">
        <is>
          <t>KRISTIANSTAD</t>
        </is>
      </c>
      <c r="G1818" t="n">
        <v>5.6</v>
      </c>
      <c r="H1818" t="n">
        <v>0</v>
      </c>
      <c r="I1818" t="n">
        <v>0</v>
      </c>
      <c r="J1818" t="n">
        <v>0</v>
      </c>
      <c r="K1818" t="n">
        <v>0</v>
      </c>
      <c r="L1818" t="n">
        <v>0</v>
      </c>
      <c r="M1818" t="n">
        <v>0</v>
      </c>
      <c r="N1818" t="n">
        <v>0</v>
      </c>
      <c r="O1818" t="n">
        <v>0</v>
      </c>
      <c r="P1818" t="n">
        <v>0</v>
      </c>
      <c r="Q1818" t="n">
        <v>0</v>
      </c>
      <c r="R1818" s="2" t="inlineStr"/>
    </row>
    <row r="1819" ht="15" customHeight="1">
      <c r="A1819" t="inlineStr">
        <is>
          <t>A 60394-2024</t>
        </is>
      </c>
      <c r="B1819" s="1" t="n">
        <v>45643.49228009259</v>
      </c>
      <c r="C1819" s="1" t="n">
        <v>45962</v>
      </c>
      <c r="D1819" t="inlineStr">
        <is>
          <t>SKÅNE LÄN</t>
        </is>
      </c>
      <c r="E1819" t="inlineStr">
        <is>
          <t>ÖSTRA GÖINGE</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57161-2022</t>
        </is>
      </c>
      <c r="B1820" s="1" t="n">
        <v>44895.59303240741</v>
      </c>
      <c r="C1820" s="1" t="n">
        <v>45962</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57709-2022</t>
        </is>
      </c>
      <c r="B1821" s="1" t="n">
        <v>44897</v>
      </c>
      <c r="C1821" s="1" t="n">
        <v>45962</v>
      </c>
      <c r="D1821" t="inlineStr">
        <is>
          <t>SKÅNE LÄN</t>
        </is>
      </c>
      <c r="E1821" t="inlineStr">
        <is>
          <t>ÖRKELLJUNGA</t>
        </is>
      </c>
      <c r="G1821" t="n">
        <v>5</v>
      </c>
      <c r="H1821" t="n">
        <v>0</v>
      </c>
      <c r="I1821" t="n">
        <v>0</v>
      </c>
      <c r="J1821" t="n">
        <v>0</v>
      </c>
      <c r="K1821" t="n">
        <v>0</v>
      </c>
      <c r="L1821" t="n">
        <v>0</v>
      </c>
      <c r="M1821" t="n">
        <v>0</v>
      </c>
      <c r="N1821" t="n">
        <v>0</v>
      </c>
      <c r="O1821" t="n">
        <v>0</v>
      </c>
      <c r="P1821" t="n">
        <v>0</v>
      </c>
      <c r="Q1821" t="n">
        <v>0</v>
      </c>
      <c r="R1821" s="2" t="inlineStr"/>
    </row>
    <row r="1822" ht="15" customHeight="1">
      <c r="A1822" t="inlineStr">
        <is>
          <t>A 3172-2024</t>
        </is>
      </c>
      <c r="B1822" s="1" t="n">
        <v>45316.6327662037</v>
      </c>
      <c r="C1822" s="1" t="n">
        <v>45962</v>
      </c>
      <c r="D1822" t="inlineStr">
        <is>
          <t>SKÅNE LÄN</t>
        </is>
      </c>
      <c r="E1822" t="inlineStr">
        <is>
          <t>ÖSTRA GÖINGE</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11204-2023</t>
        </is>
      </c>
      <c r="B1823" s="1" t="n">
        <v>44992.60141203704</v>
      </c>
      <c r="C1823" s="1" t="n">
        <v>45962</v>
      </c>
      <c r="D1823" t="inlineStr">
        <is>
          <t>SKÅNE LÄN</t>
        </is>
      </c>
      <c r="E1823" t="inlineStr">
        <is>
          <t>ESLÖV</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17737-2023</t>
        </is>
      </c>
      <c r="B1824" s="1" t="n">
        <v>45037.44637731482</v>
      </c>
      <c r="C1824" s="1" t="n">
        <v>45962</v>
      </c>
      <c r="D1824" t="inlineStr">
        <is>
          <t>SKÅNE LÄN</t>
        </is>
      </c>
      <c r="E1824" t="inlineStr">
        <is>
          <t>ÖRKELLJUNGA</t>
        </is>
      </c>
      <c r="G1824" t="n">
        <v>3.7</v>
      </c>
      <c r="H1824" t="n">
        <v>0</v>
      </c>
      <c r="I1824" t="n">
        <v>0</v>
      </c>
      <c r="J1824" t="n">
        <v>0</v>
      </c>
      <c r="K1824" t="n">
        <v>0</v>
      </c>
      <c r="L1824" t="n">
        <v>0</v>
      </c>
      <c r="M1824" t="n">
        <v>0</v>
      </c>
      <c r="N1824" t="n">
        <v>0</v>
      </c>
      <c r="O1824" t="n">
        <v>0</v>
      </c>
      <c r="P1824" t="n">
        <v>0</v>
      </c>
      <c r="Q1824" t="n">
        <v>0</v>
      </c>
      <c r="R1824" s="2" t="inlineStr"/>
    </row>
    <row r="1825" ht="15" customHeight="1">
      <c r="A1825" t="inlineStr">
        <is>
          <t>A 29284-2023</t>
        </is>
      </c>
      <c r="B1825" s="1" t="n">
        <v>45105</v>
      </c>
      <c r="C1825" s="1" t="n">
        <v>45962</v>
      </c>
      <c r="D1825" t="inlineStr">
        <is>
          <t>SKÅNE LÄN</t>
        </is>
      </c>
      <c r="E1825" t="inlineStr">
        <is>
          <t>ÖSTRA GÖINGE</t>
        </is>
      </c>
      <c r="G1825" t="n">
        <v>3.2</v>
      </c>
      <c r="H1825" t="n">
        <v>0</v>
      </c>
      <c r="I1825" t="n">
        <v>0</v>
      </c>
      <c r="J1825" t="n">
        <v>0</v>
      </c>
      <c r="K1825" t="n">
        <v>0</v>
      </c>
      <c r="L1825" t="n">
        <v>0</v>
      </c>
      <c r="M1825" t="n">
        <v>0</v>
      </c>
      <c r="N1825" t="n">
        <v>0</v>
      </c>
      <c r="O1825" t="n">
        <v>0</v>
      </c>
      <c r="P1825" t="n">
        <v>0</v>
      </c>
      <c r="Q1825" t="n">
        <v>0</v>
      </c>
      <c r="R1825" s="2" t="inlineStr"/>
    </row>
    <row r="1826" ht="15" customHeight="1">
      <c r="A1826" t="inlineStr">
        <is>
          <t>A 27492-2023</t>
        </is>
      </c>
      <c r="B1826" s="1" t="n">
        <v>45097</v>
      </c>
      <c r="C1826" s="1" t="n">
        <v>45962</v>
      </c>
      <c r="D1826" t="inlineStr">
        <is>
          <t>SKÅNE LÄN</t>
        </is>
      </c>
      <c r="E1826" t="inlineStr">
        <is>
          <t>OSBY</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2086-2023</t>
        </is>
      </c>
      <c r="B1827" s="1" t="n">
        <v>44939</v>
      </c>
      <c r="C1827" s="1" t="n">
        <v>45962</v>
      </c>
      <c r="D1827" t="inlineStr">
        <is>
          <t>SKÅNE LÄN</t>
        </is>
      </c>
      <c r="E1827" t="inlineStr">
        <is>
          <t>ÖRKELLJUNGA</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16483-2024</t>
        </is>
      </c>
      <c r="B1828" s="1" t="n">
        <v>45408</v>
      </c>
      <c r="C1828" s="1" t="n">
        <v>45962</v>
      </c>
      <c r="D1828" t="inlineStr">
        <is>
          <t>SKÅNE LÄN</t>
        </is>
      </c>
      <c r="E1828" t="inlineStr">
        <is>
          <t>TOMELILLA</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17060-2021</t>
        </is>
      </c>
      <c r="B1829" s="1" t="n">
        <v>44296.63025462963</v>
      </c>
      <c r="C1829" s="1" t="n">
        <v>45962</v>
      </c>
      <c r="D1829" t="inlineStr">
        <is>
          <t>SKÅNE LÄN</t>
        </is>
      </c>
      <c r="E1829" t="inlineStr">
        <is>
          <t>KLIPPAN</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27957-2022</t>
        </is>
      </c>
      <c r="B1830" s="1" t="n">
        <v>44743</v>
      </c>
      <c r="C1830" s="1" t="n">
        <v>45962</v>
      </c>
      <c r="D1830" t="inlineStr">
        <is>
          <t>SKÅNE LÄN</t>
        </is>
      </c>
      <c r="E1830" t="inlineStr">
        <is>
          <t>KRISTIANSTAD</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22406-2022</t>
        </is>
      </c>
      <c r="B1831" s="1" t="n">
        <v>44713</v>
      </c>
      <c r="C1831" s="1" t="n">
        <v>45962</v>
      </c>
      <c r="D1831" t="inlineStr">
        <is>
          <t>SKÅNE LÄN</t>
        </is>
      </c>
      <c r="E1831" t="inlineStr">
        <is>
          <t>SJÖBO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30638-2023</t>
        </is>
      </c>
      <c r="B1832" s="1" t="n">
        <v>45112</v>
      </c>
      <c r="C1832" s="1" t="n">
        <v>45962</v>
      </c>
      <c r="D1832" t="inlineStr">
        <is>
          <t>SKÅNE LÄN</t>
        </is>
      </c>
      <c r="E1832" t="inlineStr">
        <is>
          <t>ÖRKELLJUNGA</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50516-2022</t>
        </is>
      </c>
      <c r="B1833" s="1" t="n">
        <v>44866.5670949074</v>
      </c>
      <c r="C1833" s="1" t="n">
        <v>45962</v>
      </c>
      <c r="D1833" t="inlineStr">
        <is>
          <t>SKÅNE LÄN</t>
        </is>
      </c>
      <c r="E1833" t="inlineStr">
        <is>
          <t>KRISTIANSTAD</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60404-2024</t>
        </is>
      </c>
      <c r="B1834" s="1" t="n">
        <v>45643.50313657407</v>
      </c>
      <c r="C1834" s="1" t="n">
        <v>45962</v>
      </c>
      <c r="D1834" t="inlineStr">
        <is>
          <t>SKÅNE LÄN</t>
        </is>
      </c>
      <c r="E1834" t="inlineStr">
        <is>
          <t>OSBY</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4594-2023</t>
        </is>
      </c>
      <c r="B1835" s="1" t="n">
        <v>44956.88331018519</v>
      </c>
      <c r="C1835" s="1" t="n">
        <v>45962</v>
      </c>
      <c r="D1835" t="inlineStr">
        <is>
          <t>SKÅNE LÄN</t>
        </is>
      </c>
      <c r="E1835" t="inlineStr">
        <is>
          <t>ÖSTRA GÖINGE</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21494-2023</t>
        </is>
      </c>
      <c r="B1836" s="1" t="n">
        <v>45063</v>
      </c>
      <c r="C1836" s="1" t="n">
        <v>45962</v>
      </c>
      <c r="D1836" t="inlineStr">
        <is>
          <t>SKÅNE LÄN</t>
        </is>
      </c>
      <c r="E1836" t="inlineStr">
        <is>
          <t>HÄSSLEHOLM</t>
        </is>
      </c>
      <c r="G1836" t="n">
        <v>3.7</v>
      </c>
      <c r="H1836" t="n">
        <v>0</v>
      </c>
      <c r="I1836" t="n">
        <v>0</v>
      </c>
      <c r="J1836" t="n">
        <v>0</v>
      </c>
      <c r="K1836" t="n">
        <v>0</v>
      </c>
      <c r="L1836" t="n">
        <v>0</v>
      </c>
      <c r="M1836" t="n">
        <v>0</v>
      </c>
      <c r="N1836" t="n">
        <v>0</v>
      </c>
      <c r="O1836" t="n">
        <v>0</v>
      </c>
      <c r="P1836" t="n">
        <v>0</v>
      </c>
      <c r="Q1836" t="n">
        <v>0</v>
      </c>
      <c r="R1836" s="2" t="inlineStr"/>
    </row>
    <row r="1837" ht="15" customHeight="1">
      <c r="A1837" t="inlineStr">
        <is>
          <t>A 21495-2023</t>
        </is>
      </c>
      <c r="B1837" s="1" t="n">
        <v>45063</v>
      </c>
      <c r="C1837" s="1" t="n">
        <v>45962</v>
      </c>
      <c r="D1837" t="inlineStr">
        <is>
          <t>SKÅNE LÄN</t>
        </is>
      </c>
      <c r="E1837" t="inlineStr">
        <is>
          <t>HÄSSLEHOLM</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4435-2025</t>
        </is>
      </c>
      <c r="B1838" s="1" t="n">
        <v>45686.50671296296</v>
      </c>
      <c r="C1838" s="1" t="n">
        <v>45962</v>
      </c>
      <c r="D1838" t="inlineStr">
        <is>
          <t>SKÅNE LÄN</t>
        </is>
      </c>
      <c r="E1838" t="inlineStr">
        <is>
          <t>ÖSTRA GÖINGE</t>
        </is>
      </c>
      <c r="G1838" t="n">
        <v>3.1</v>
      </c>
      <c r="H1838" t="n">
        <v>0</v>
      </c>
      <c r="I1838" t="n">
        <v>0</v>
      </c>
      <c r="J1838" t="n">
        <v>0</v>
      </c>
      <c r="K1838" t="n">
        <v>0</v>
      </c>
      <c r="L1838" t="n">
        <v>0</v>
      </c>
      <c r="M1838" t="n">
        <v>0</v>
      </c>
      <c r="N1838" t="n">
        <v>0</v>
      </c>
      <c r="O1838" t="n">
        <v>0</v>
      </c>
      <c r="P1838" t="n">
        <v>0</v>
      </c>
      <c r="Q1838" t="n">
        <v>0</v>
      </c>
      <c r="R1838" s="2" t="inlineStr"/>
    </row>
    <row r="1839" ht="15" customHeight="1">
      <c r="A1839" t="inlineStr">
        <is>
          <t>A 4458-2025</t>
        </is>
      </c>
      <c r="B1839" s="1" t="n">
        <v>45686.59657407407</v>
      </c>
      <c r="C1839" s="1" t="n">
        <v>45962</v>
      </c>
      <c r="D1839" t="inlineStr">
        <is>
          <t>SKÅNE LÄN</t>
        </is>
      </c>
      <c r="E1839" t="inlineStr">
        <is>
          <t>ÖSTRA GÖINGE</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48621-2023</t>
        </is>
      </c>
      <c r="B1840" s="1" t="n">
        <v>45202</v>
      </c>
      <c r="C1840" s="1" t="n">
        <v>45962</v>
      </c>
      <c r="D1840" t="inlineStr">
        <is>
          <t>SKÅNE LÄN</t>
        </is>
      </c>
      <c r="E1840" t="inlineStr">
        <is>
          <t>ÖSTRA GÖINGE</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11010-2024</t>
        </is>
      </c>
      <c r="B1841" s="1" t="n">
        <v>45370</v>
      </c>
      <c r="C1841" s="1" t="n">
        <v>45962</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11012-2024</t>
        </is>
      </c>
      <c r="B1842" s="1" t="n">
        <v>45370</v>
      </c>
      <c r="C1842" s="1" t="n">
        <v>45962</v>
      </c>
      <c r="D1842" t="inlineStr">
        <is>
          <t>SKÅNE LÄN</t>
        </is>
      </c>
      <c r="E1842" t="inlineStr">
        <is>
          <t>KRISTIANSTAD</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607-2024</t>
        </is>
      </c>
      <c r="B1843" s="1" t="n">
        <v>45299</v>
      </c>
      <c r="C1843" s="1" t="n">
        <v>45962</v>
      </c>
      <c r="D1843" t="inlineStr">
        <is>
          <t>SKÅNE LÄN</t>
        </is>
      </c>
      <c r="E1843" t="inlineStr">
        <is>
          <t>ÄNGELHOLM</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60848-2022</t>
        </is>
      </c>
      <c r="B1844" s="1" t="n">
        <v>44914</v>
      </c>
      <c r="C1844" s="1" t="n">
        <v>45962</v>
      </c>
      <c r="D1844" t="inlineStr">
        <is>
          <t>SKÅNE LÄN</t>
        </is>
      </c>
      <c r="E1844" t="inlineStr">
        <is>
          <t>HÄSSLEHOLM</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9359-2025</t>
        </is>
      </c>
      <c r="B1845" s="1" t="n">
        <v>45715.29788194445</v>
      </c>
      <c r="C1845" s="1" t="n">
        <v>45962</v>
      </c>
      <c r="D1845" t="inlineStr">
        <is>
          <t>SKÅNE LÄN</t>
        </is>
      </c>
      <c r="E1845" t="inlineStr">
        <is>
          <t>ÖRKELLJUNGA</t>
        </is>
      </c>
      <c r="G1845" t="n">
        <v>0.4</v>
      </c>
      <c r="H1845" t="n">
        <v>0</v>
      </c>
      <c r="I1845" t="n">
        <v>0</v>
      </c>
      <c r="J1845" t="n">
        <v>0</v>
      </c>
      <c r="K1845" t="n">
        <v>0</v>
      </c>
      <c r="L1845" t="n">
        <v>0</v>
      </c>
      <c r="M1845" t="n">
        <v>0</v>
      </c>
      <c r="N1845" t="n">
        <v>0</v>
      </c>
      <c r="O1845" t="n">
        <v>0</v>
      </c>
      <c r="P1845" t="n">
        <v>0</v>
      </c>
      <c r="Q1845" t="n">
        <v>0</v>
      </c>
      <c r="R1845" s="2" t="inlineStr"/>
    </row>
    <row r="1846" ht="15" customHeight="1">
      <c r="A1846" t="inlineStr">
        <is>
          <t>A 50304-2023</t>
        </is>
      </c>
      <c r="B1846" s="1" t="n">
        <v>45209</v>
      </c>
      <c r="C1846" s="1" t="n">
        <v>45962</v>
      </c>
      <c r="D1846" t="inlineStr">
        <is>
          <t>SKÅNE LÄN</t>
        </is>
      </c>
      <c r="E1846" t="inlineStr">
        <is>
          <t>ÖRKELLJUNGA</t>
        </is>
      </c>
      <c r="G1846" t="n">
        <v>17.9</v>
      </c>
      <c r="H1846" t="n">
        <v>0</v>
      </c>
      <c r="I1846" t="n">
        <v>0</v>
      </c>
      <c r="J1846" t="n">
        <v>0</v>
      </c>
      <c r="K1846" t="n">
        <v>0</v>
      </c>
      <c r="L1846" t="n">
        <v>0</v>
      </c>
      <c r="M1846" t="n">
        <v>0</v>
      </c>
      <c r="N1846" t="n">
        <v>0</v>
      </c>
      <c r="O1846" t="n">
        <v>0</v>
      </c>
      <c r="P1846" t="n">
        <v>0</v>
      </c>
      <c r="Q1846" t="n">
        <v>0</v>
      </c>
      <c r="R1846" s="2" t="inlineStr"/>
    </row>
    <row r="1847" ht="15" customHeight="1">
      <c r="A1847" t="inlineStr">
        <is>
          <t>A 62167-2022</t>
        </is>
      </c>
      <c r="B1847" s="1" t="n">
        <v>44915</v>
      </c>
      <c r="C1847" s="1" t="n">
        <v>45962</v>
      </c>
      <c r="D1847" t="inlineStr">
        <is>
          <t>SKÅNE LÄN</t>
        </is>
      </c>
      <c r="E1847" t="inlineStr">
        <is>
          <t>HÄSSLEHOLM</t>
        </is>
      </c>
      <c r="F1847" t="inlineStr">
        <is>
          <t>Kyrkan</t>
        </is>
      </c>
      <c r="G1847" t="n">
        <v>3.1</v>
      </c>
      <c r="H1847" t="n">
        <v>0</v>
      </c>
      <c r="I1847" t="n">
        <v>0</v>
      </c>
      <c r="J1847" t="n">
        <v>0</v>
      </c>
      <c r="K1847" t="n">
        <v>0</v>
      </c>
      <c r="L1847" t="n">
        <v>0</v>
      </c>
      <c r="M1847" t="n">
        <v>0</v>
      </c>
      <c r="N1847" t="n">
        <v>0</v>
      </c>
      <c r="O1847" t="n">
        <v>0</v>
      </c>
      <c r="P1847" t="n">
        <v>0</v>
      </c>
      <c r="Q1847" t="n">
        <v>0</v>
      </c>
      <c r="R1847" s="2" t="inlineStr"/>
    </row>
    <row r="1848" ht="15" customHeight="1">
      <c r="A1848" t="inlineStr">
        <is>
          <t>A 62234-2022</t>
        </is>
      </c>
      <c r="B1848" s="1" t="n">
        <v>44922</v>
      </c>
      <c r="C1848" s="1" t="n">
        <v>45962</v>
      </c>
      <c r="D1848" t="inlineStr">
        <is>
          <t>SKÅNE LÄN</t>
        </is>
      </c>
      <c r="E1848" t="inlineStr">
        <is>
          <t>HÄSSLEHOLM</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6229-2022</t>
        </is>
      </c>
      <c r="B1849" s="1" t="n">
        <v>44600</v>
      </c>
      <c r="C1849" s="1" t="n">
        <v>45962</v>
      </c>
      <c r="D1849" t="inlineStr">
        <is>
          <t>SKÅNE LÄN</t>
        </is>
      </c>
      <c r="E1849" t="inlineStr">
        <is>
          <t>SJÖBO</t>
        </is>
      </c>
      <c r="G1849" t="n">
        <v>3.2</v>
      </c>
      <c r="H1849" t="n">
        <v>0</v>
      </c>
      <c r="I1849" t="n">
        <v>0</v>
      </c>
      <c r="J1849" t="n">
        <v>0</v>
      </c>
      <c r="K1849" t="n">
        <v>0</v>
      </c>
      <c r="L1849" t="n">
        <v>0</v>
      </c>
      <c r="M1849" t="n">
        <v>0</v>
      </c>
      <c r="N1849" t="n">
        <v>0</v>
      </c>
      <c r="O1849" t="n">
        <v>0</v>
      </c>
      <c r="P1849" t="n">
        <v>0</v>
      </c>
      <c r="Q1849" t="n">
        <v>0</v>
      </c>
      <c r="R1849" s="2" t="inlineStr"/>
    </row>
    <row r="1850" ht="15" customHeight="1">
      <c r="A1850" t="inlineStr">
        <is>
          <t>A 429-2023</t>
        </is>
      </c>
      <c r="B1850" s="1" t="n">
        <v>44923</v>
      </c>
      <c r="C1850" s="1" t="n">
        <v>45962</v>
      </c>
      <c r="D1850" t="inlineStr">
        <is>
          <t>SKÅNE LÄN</t>
        </is>
      </c>
      <c r="E1850" t="inlineStr">
        <is>
          <t>KRISTIANSTAD</t>
        </is>
      </c>
      <c r="G1850" t="n">
        <v>2.1</v>
      </c>
      <c r="H1850" t="n">
        <v>0</v>
      </c>
      <c r="I1850" t="n">
        <v>0</v>
      </c>
      <c r="J1850" t="n">
        <v>0</v>
      </c>
      <c r="K1850" t="n">
        <v>0</v>
      </c>
      <c r="L1850" t="n">
        <v>0</v>
      </c>
      <c r="M1850" t="n">
        <v>0</v>
      </c>
      <c r="N1850" t="n">
        <v>0</v>
      </c>
      <c r="O1850" t="n">
        <v>0</v>
      </c>
      <c r="P1850" t="n">
        <v>0</v>
      </c>
      <c r="Q1850" t="n">
        <v>0</v>
      </c>
      <c r="R1850" s="2" t="inlineStr"/>
    </row>
    <row r="1851" ht="15" customHeight="1">
      <c r="A1851" t="inlineStr">
        <is>
          <t>A 4386-2024</t>
        </is>
      </c>
      <c r="B1851" s="1" t="n">
        <v>45327</v>
      </c>
      <c r="C1851" s="1" t="n">
        <v>45962</v>
      </c>
      <c r="D1851" t="inlineStr">
        <is>
          <t>SKÅNE LÄN</t>
        </is>
      </c>
      <c r="E1851" t="inlineStr">
        <is>
          <t>ÖSTRA GÖINGE</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34299-2024</t>
        </is>
      </c>
      <c r="B1852" s="1" t="n">
        <v>45524</v>
      </c>
      <c r="C1852" s="1" t="n">
        <v>45962</v>
      </c>
      <c r="D1852" t="inlineStr">
        <is>
          <t>SKÅNE LÄN</t>
        </is>
      </c>
      <c r="E1852" t="inlineStr">
        <is>
          <t>HÄSSLEHOLM</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34302-2024</t>
        </is>
      </c>
      <c r="B1853" s="1" t="n">
        <v>45524</v>
      </c>
      <c r="C1853" s="1" t="n">
        <v>45962</v>
      </c>
      <c r="D1853" t="inlineStr">
        <is>
          <t>SKÅNE LÄN</t>
        </is>
      </c>
      <c r="E1853" t="inlineStr">
        <is>
          <t>YSTAD</t>
        </is>
      </c>
      <c r="G1853" t="n">
        <v>1.9</v>
      </c>
      <c r="H1853" t="n">
        <v>0</v>
      </c>
      <c r="I1853" t="n">
        <v>0</v>
      </c>
      <c r="J1853" t="n">
        <v>0</v>
      </c>
      <c r="K1853" t="n">
        <v>0</v>
      </c>
      <c r="L1853" t="n">
        <v>0</v>
      </c>
      <c r="M1853" t="n">
        <v>0</v>
      </c>
      <c r="N1853" t="n">
        <v>0</v>
      </c>
      <c r="O1853" t="n">
        <v>0</v>
      </c>
      <c r="P1853" t="n">
        <v>0</v>
      </c>
      <c r="Q1853" t="n">
        <v>0</v>
      </c>
      <c r="R1853" s="2" t="inlineStr"/>
    </row>
    <row r="1854" ht="15" customHeight="1">
      <c r="A1854" t="inlineStr">
        <is>
          <t>A 42435-2024</t>
        </is>
      </c>
      <c r="B1854" s="1" t="n">
        <v>45565.42112268518</v>
      </c>
      <c r="C1854" s="1" t="n">
        <v>45962</v>
      </c>
      <c r="D1854" t="inlineStr">
        <is>
          <t>SKÅNE LÄN</t>
        </is>
      </c>
      <c r="E1854" t="inlineStr">
        <is>
          <t>PERSTORP</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22345-2021</t>
        </is>
      </c>
      <c r="B1855" s="1" t="n">
        <v>44326</v>
      </c>
      <c r="C1855" s="1" t="n">
        <v>45962</v>
      </c>
      <c r="D1855" t="inlineStr">
        <is>
          <t>SKÅNE LÄN</t>
        </is>
      </c>
      <c r="E1855" t="inlineStr">
        <is>
          <t>KRISTIANSTAD</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9393-2025</t>
        </is>
      </c>
      <c r="B1856" s="1" t="n">
        <v>45715.36230324074</v>
      </c>
      <c r="C1856" s="1" t="n">
        <v>45962</v>
      </c>
      <c r="D1856" t="inlineStr">
        <is>
          <t>SKÅNE LÄN</t>
        </is>
      </c>
      <c r="E1856" t="inlineStr">
        <is>
          <t>HÄSSLEHOLM</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34389-2024</t>
        </is>
      </c>
      <c r="B1857" s="1" t="n">
        <v>45525</v>
      </c>
      <c r="C1857" s="1" t="n">
        <v>45962</v>
      </c>
      <c r="D1857" t="inlineStr">
        <is>
          <t>SKÅNE LÄN</t>
        </is>
      </c>
      <c r="E1857" t="inlineStr">
        <is>
          <t>ÖSTRA GÖINGE</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53491-2021</t>
        </is>
      </c>
      <c r="B1858" s="1" t="n">
        <v>44468</v>
      </c>
      <c r="C1858" s="1" t="n">
        <v>45962</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60400-2024</t>
        </is>
      </c>
      <c r="B1859" s="1" t="n">
        <v>45643.49901620371</v>
      </c>
      <c r="C1859" s="1" t="n">
        <v>45962</v>
      </c>
      <c r="D1859" t="inlineStr">
        <is>
          <t>SKÅNE LÄN</t>
        </is>
      </c>
      <c r="E1859" t="inlineStr">
        <is>
          <t>OSBY</t>
        </is>
      </c>
      <c r="G1859" t="n">
        <v>2.5</v>
      </c>
      <c r="H1859" t="n">
        <v>0</v>
      </c>
      <c r="I1859" t="n">
        <v>0</v>
      </c>
      <c r="J1859" t="n">
        <v>0</v>
      </c>
      <c r="K1859" t="n">
        <v>0</v>
      </c>
      <c r="L1859" t="n">
        <v>0</v>
      </c>
      <c r="M1859" t="n">
        <v>0</v>
      </c>
      <c r="N1859" t="n">
        <v>0</v>
      </c>
      <c r="O1859" t="n">
        <v>0</v>
      </c>
      <c r="P1859" t="n">
        <v>0</v>
      </c>
      <c r="Q1859" t="n">
        <v>0</v>
      </c>
      <c r="R1859" s="2" t="inlineStr"/>
    </row>
    <row r="1860" ht="15" customHeight="1">
      <c r="A1860" t="inlineStr">
        <is>
          <t>A 2088-2023</t>
        </is>
      </c>
      <c r="B1860" s="1" t="n">
        <v>44939</v>
      </c>
      <c r="C1860" s="1" t="n">
        <v>45962</v>
      </c>
      <c r="D1860" t="inlineStr">
        <is>
          <t>SKÅNE LÄN</t>
        </is>
      </c>
      <c r="E1860" t="inlineStr">
        <is>
          <t>ÖRKELLJUNGA</t>
        </is>
      </c>
      <c r="G1860" t="n">
        <v>2.4</v>
      </c>
      <c r="H1860" t="n">
        <v>0</v>
      </c>
      <c r="I1860" t="n">
        <v>0</v>
      </c>
      <c r="J1860" t="n">
        <v>0</v>
      </c>
      <c r="K1860" t="n">
        <v>0</v>
      </c>
      <c r="L1860" t="n">
        <v>0</v>
      </c>
      <c r="M1860" t="n">
        <v>0</v>
      </c>
      <c r="N1860" t="n">
        <v>0</v>
      </c>
      <c r="O1860" t="n">
        <v>0</v>
      </c>
      <c r="P1860" t="n">
        <v>0</v>
      </c>
      <c r="Q1860" t="n">
        <v>0</v>
      </c>
      <c r="R1860" s="2" t="inlineStr"/>
    </row>
    <row r="1861" ht="15" customHeight="1">
      <c r="A1861" t="inlineStr">
        <is>
          <t>A 61876-2024</t>
        </is>
      </c>
      <c r="B1861" s="1" t="n">
        <v>45652.38005787037</v>
      </c>
      <c r="C1861" s="1" t="n">
        <v>45962</v>
      </c>
      <c r="D1861" t="inlineStr">
        <is>
          <t>SKÅNE LÄN</t>
        </is>
      </c>
      <c r="E1861" t="inlineStr">
        <is>
          <t>SIMRISHAMN</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61878-2024</t>
        </is>
      </c>
      <c r="B1862" s="1" t="n">
        <v>45652.39358796296</v>
      </c>
      <c r="C1862" s="1" t="n">
        <v>45962</v>
      </c>
      <c r="D1862" t="inlineStr">
        <is>
          <t>SKÅNE LÄN</t>
        </is>
      </c>
      <c r="E1862" t="inlineStr">
        <is>
          <t>KRISTIANSTAD</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61882-2024</t>
        </is>
      </c>
      <c r="B1863" s="1" t="n">
        <v>45652.49542824074</v>
      </c>
      <c r="C1863" s="1" t="n">
        <v>45962</v>
      </c>
      <c r="D1863" t="inlineStr">
        <is>
          <t>SKÅNE LÄN</t>
        </is>
      </c>
      <c r="E1863" t="inlineStr">
        <is>
          <t>OSBY</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43871-2023</t>
        </is>
      </c>
      <c r="B1864" s="1" t="n">
        <v>45187</v>
      </c>
      <c r="C1864" s="1" t="n">
        <v>45962</v>
      </c>
      <c r="D1864" t="inlineStr">
        <is>
          <t>SKÅNE LÄN</t>
        </is>
      </c>
      <c r="E1864" t="inlineStr">
        <is>
          <t>KRISTIANSTAD</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43937-2023</t>
        </is>
      </c>
      <c r="B1865" s="1" t="n">
        <v>45187</v>
      </c>
      <c r="C1865" s="1" t="n">
        <v>45962</v>
      </c>
      <c r="D1865" t="inlineStr">
        <is>
          <t>SKÅNE LÄN</t>
        </is>
      </c>
      <c r="E1865" t="inlineStr">
        <is>
          <t>HÖRBY</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43939-2023</t>
        </is>
      </c>
      <c r="B1866" s="1" t="n">
        <v>45187</v>
      </c>
      <c r="C1866" s="1" t="n">
        <v>45962</v>
      </c>
      <c r="D1866" t="inlineStr">
        <is>
          <t>SKÅNE LÄN</t>
        </is>
      </c>
      <c r="E1866" t="inlineStr">
        <is>
          <t>HÖRBY</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13611-2025</t>
        </is>
      </c>
      <c r="B1867" s="1" t="n">
        <v>45736.62430555555</v>
      </c>
      <c r="C1867" s="1" t="n">
        <v>45962</v>
      </c>
      <c r="D1867" t="inlineStr">
        <is>
          <t>SKÅNE LÄN</t>
        </is>
      </c>
      <c r="E1867" t="inlineStr">
        <is>
          <t>ÖRKELLJUNGA</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63996-2020</t>
        </is>
      </c>
      <c r="B1868" s="1" t="n">
        <v>44167</v>
      </c>
      <c r="C1868" s="1" t="n">
        <v>45962</v>
      </c>
      <c r="D1868" t="inlineStr">
        <is>
          <t>SKÅNE LÄN</t>
        </is>
      </c>
      <c r="E1868" t="inlineStr">
        <is>
          <t>ÖSTRA GÖINGE</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15897-2025</t>
        </is>
      </c>
      <c r="B1869" s="1" t="n">
        <v>45749.41598379629</v>
      </c>
      <c r="C1869" s="1" t="n">
        <v>45962</v>
      </c>
      <c r="D1869" t="inlineStr">
        <is>
          <t>SKÅNE LÄN</t>
        </is>
      </c>
      <c r="E1869" t="inlineStr">
        <is>
          <t>HÄSSLEHOLM</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6164-2023</t>
        </is>
      </c>
      <c r="B1870" s="1" t="n">
        <v>44964.66871527778</v>
      </c>
      <c r="C1870" s="1" t="n">
        <v>45962</v>
      </c>
      <c r="D1870" t="inlineStr">
        <is>
          <t>SKÅNE LÄN</t>
        </is>
      </c>
      <c r="E1870" t="inlineStr">
        <is>
          <t>HÄSSLEHOLM</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18015-2025</t>
        </is>
      </c>
      <c r="B1871" s="1" t="n">
        <v>45761.43996527778</v>
      </c>
      <c r="C1871" s="1" t="n">
        <v>45962</v>
      </c>
      <c r="D1871" t="inlineStr">
        <is>
          <t>SKÅNE LÄN</t>
        </is>
      </c>
      <c r="E1871" t="inlineStr">
        <is>
          <t>KRISTIANSTAD</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18035-2025</t>
        </is>
      </c>
      <c r="B1872" s="1" t="n">
        <v>45761.45442129629</v>
      </c>
      <c r="C1872" s="1" t="n">
        <v>45962</v>
      </c>
      <c r="D1872" t="inlineStr">
        <is>
          <t>SKÅNE LÄN</t>
        </is>
      </c>
      <c r="E1872" t="inlineStr">
        <is>
          <t>KRISTIANSTAD</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54982-2024</t>
        </is>
      </c>
      <c r="B1873" s="1" t="n">
        <v>45620.7580787037</v>
      </c>
      <c r="C1873" s="1" t="n">
        <v>45962</v>
      </c>
      <c r="D1873" t="inlineStr">
        <is>
          <t>SKÅNE LÄN</t>
        </is>
      </c>
      <c r="E1873" t="inlineStr">
        <is>
          <t>HÄSSLEHOLM</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18616-2021</t>
        </is>
      </c>
      <c r="B1874" s="1" t="n">
        <v>44306</v>
      </c>
      <c r="C1874" s="1" t="n">
        <v>45962</v>
      </c>
      <c r="D1874" t="inlineStr">
        <is>
          <t>SKÅNE LÄN</t>
        </is>
      </c>
      <c r="E1874" t="inlineStr">
        <is>
          <t>PERSTORP</t>
        </is>
      </c>
      <c r="F1874" t="inlineStr">
        <is>
          <t>Övriga Aktiebolag</t>
        </is>
      </c>
      <c r="G1874" t="n">
        <v>3.4</v>
      </c>
      <c r="H1874" t="n">
        <v>0</v>
      </c>
      <c r="I1874" t="n">
        <v>0</v>
      </c>
      <c r="J1874" t="n">
        <v>0</v>
      </c>
      <c r="K1874" t="n">
        <v>0</v>
      </c>
      <c r="L1874" t="n">
        <v>0</v>
      </c>
      <c r="M1874" t="n">
        <v>0</v>
      </c>
      <c r="N1874" t="n">
        <v>0</v>
      </c>
      <c r="O1874" t="n">
        <v>0</v>
      </c>
      <c r="P1874" t="n">
        <v>0</v>
      </c>
      <c r="Q1874" t="n">
        <v>0</v>
      </c>
      <c r="R1874" s="2" t="inlineStr"/>
    </row>
    <row r="1875" ht="15" customHeight="1">
      <c r="A1875" t="inlineStr">
        <is>
          <t>A 3805-2024</t>
        </is>
      </c>
      <c r="B1875" s="1" t="n">
        <v>45321.6490625</v>
      </c>
      <c r="C1875" s="1" t="n">
        <v>45962</v>
      </c>
      <c r="D1875" t="inlineStr">
        <is>
          <t>SKÅNE LÄN</t>
        </is>
      </c>
      <c r="E1875" t="inlineStr">
        <is>
          <t>ÖSTRA GÖINGE</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1169-2023</t>
        </is>
      </c>
      <c r="B1876" s="1" t="n">
        <v>44935.67930555555</v>
      </c>
      <c r="C1876" s="1" t="n">
        <v>45962</v>
      </c>
      <c r="D1876" t="inlineStr">
        <is>
          <t>SKÅNE LÄN</t>
        </is>
      </c>
      <c r="E1876" t="inlineStr">
        <is>
          <t>ÖSTRA GÖINGE</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61182-2024</t>
        </is>
      </c>
      <c r="B1877" s="1" t="n">
        <v>45645</v>
      </c>
      <c r="C1877" s="1" t="n">
        <v>45962</v>
      </c>
      <c r="D1877" t="inlineStr">
        <is>
          <t>SKÅNE LÄN</t>
        </is>
      </c>
      <c r="E1877" t="inlineStr">
        <is>
          <t>HÄSSLEHOLM</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11126-2025</t>
        </is>
      </c>
      <c r="B1878" s="1" t="n">
        <v>45723</v>
      </c>
      <c r="C1878" s="1" t="n">
        <v>45962</v>
      </c>
      <c r="D1878" t="inlineStr">
        <is>
          <t>SKÅNE LÄN</t>
        </is>
      </c>
      <c r="E1878" t="inlineStr">
        <is>
          <t>ÖRKELLJUNGA</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13974-2025</t>
        </is>
      </c>
      <c r="B1879" s="1" t="n">
        <v>45738</v>
      </c>
      <c r="C1879" s="1" t="n">
        <v>45962</v>
      </c>
      <c r="D1879" t="inlineStr">
        <is>
          <t>SKÅNE LÄN</t>
        </is>
      </c>
      <c r="E1879" t="inlineStr">
        <is>
          <t>KRISTIANSTAD</t>
        </is>
      </c>
      <c r="G1879" t="n">
        <v>11.3</v>
      </c>
      <c r="H1879" t="n">
        <v>0</v>
      </c>
      <c r="I1879" t="n">
        <v>0</v>
      </c>
      <c r="J1879" t="n">
        <v>0</v>
      </c>
      <c r="K1879" t="n">
        <v>0</v>
      </c>
      <c r="L1879" t="n">
        <v>0</v>
      </c>
      <c r="M1879" t="n">
        <v>0</v>
      </c>
      <c r="N1879" t="n">
        <v>0</v>
      </c>
      <c r="O1879" t="n">
        <v>0</v>
      </c>
      <c r="P1879" t="n">
        <v>0</v>
      </c>
      <c r="Q1879" t="n">
        <v>0</v>
      </c>
      <c r="R1879" s="2" t="inlineStr"/>
    </row>
    <row r="1880" ht="15" customHeight="1">
      <c r="A1880" t="inlineStr">
        <is>
          <t>A 28385-2024</t>
        </is>
      </c>
      <c r="B1880" s="1" t="n">
        <v>45477</v>
      </c>
      <c r="C1880" s="1" t="n">
        <v>45962</v>
      </c>
      <c r="D1880" t="inlineStr">
        <is>
          <t>SKÅNE LÄN</t>
        </is>
      </c>
      <c r="E1880" t="inlineStr">
        <is>
          <t>HÖÖR</t>
        </is>
      </c>
      <c r="G1880" t="n">
        <v>0.3</v>
      </c>
      <c r="H1880" t="n">
        <v>0</v>
      </c>
      <c r="I1880" t="n">
        <v>0</v>
      </c>
      <c r="J1880" t="n">
        <v>0</v>
      </c>
      <c r="K1880" t="n">
        <v>0</v>
      </c>
      <c r="L1880" t="n">
        <v>0</v>
      </c>
      <c r="M1880" t="n">
        <v>0</v>
      </c>
      <c r="N1880" t="n">
        <v>0</v>
      </c>
      <c r="O1880" t="n">
        <v>0</v>
      </c>
      <c r="P1880" t="n">
        <v>0</v>
      </c>
      <c r="Q1880" t="n">
        <v>0</v>
      </c>
      <c r="R1880" s="2" t="inlineStr"/>
    </row>
    <row r="1881" ht="15" customHeight="1">
      <c r="A1881" t="inlineStr">
        <is>
          <t>A 28425-2024</t>
        </is>
      </c>
      <c r="B1881" s="1" t="n">
        <v>45477</v>
      </c>
      <c r="C1881" s="1" t="n">
        <v>45962</v>
      </c>
      <c r="D1881" t="inlineStr">
        <is>
          <t>SKÅNE LÄN</t>
        </is>
      </c>
      <c r="E1881" t="inlineStr">
        <is>
          <t>KRISTIANSTAD</t>
        </is>
      </c>
      <c r="F1881" t="inlineStr">
        <is>
          <t>Sveaskog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42333-2023</t>
        </is>
      </c>
      <c r="B1882" s="1" t="n">
        <v>45180.49457175926</v>
      </c>
      <c r="C1882" s="1" t="n">
        <v>45962</v>
      </c>
      <c r="D1882" t="inlineStr">
        <is>
          <t>SKÅNE LÄN</t>
        </is>
      </c>
      <c r="E1882" t="inlineStr">
        <is>
          <t>BROMÖLLA</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18973-2023</t>
        </is>
      </c>
      <c r="B1883" s="1" t="n">
        <v>45044</v>
      </c>
      <c r="C1883" s="1" t="n">
        <v>45962</v>
      </c>
      <c r="D1883" t="inlineStr">
        <is>
          <t>SKÅNE LÄN</t>
        </is>
      </c>
      <c r="E1883" t="inlineStr">
        <is>
          <t>SJÖBO</t>
        </is>
      </c>
      <c r="G1883" t="n">
        <v>9.4</v>
      </c>
      <c r="H1883" t="n">
        <v>0</v>
      </c>
      <c r="I1883" t="n">
        <v>0</v>
      </c>
      <c r="J1883" t="n">
        <v>0</v>
      </c>
      <c r="K1883" t="n">
        <v>0</v>
      </c>
      <c r="L1883" t="n">
        <v>0</v>
      </c>
      <c r="M1883" t="n">
        <v>0</v>
      </c>
      <c r="N1883" t="n">
        <v>0</v>
      </c>
      <c r="O1883" t="n">
        <v>0</v>
      </c>
      <c r="P1883" t="n">
        <v>0</v>
      </c>
      <c r="Q1883" t="n">
        <v>0</v>
      </c>
      <c r="R1883" s="2" t="inlineStr"/>
    </row>
    <row r="1884" ht="15" customHeight="1">
      <c r="A1884" t="inlineStr">
        <is>
          <t>A 37620-2023</t>
        </is>
      </c>
      <c r="B1884" s="1" t="n">
        <v>45159.4530787037</v>
      </c>
      <c r="C1884" s="1" t="n">
        <v>45962</v>
      </c>
      <c r="D1884" t="inlineStr">
        <is>
          <t>SKÅNE LÄN</t>
        </is>
      </c>
      <c r="E1884" t="inlineStr">
        <is>
          <t>ÖRKELLJUNGA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13420-2023</t>
        </is>
      </c>
      <c r="B1885" s="1" t="n">
        <v>45005</v>
      </c>
      <c r="C1885" s="1" t="n">
        <v>45962</v>
      </c>
      <c r="D1885" t="inlineStr">
        <is>
          <t>SKÅNE LÄN</t>
        </is>
      </c>
      <c r="E1885" t="inlineStr">
        <is>
          <t>KLIPPAN</t>
        </is>
      </c>
      <c r="F1885" t="inlineStr">
        <is>
          <t>Övriga Aktiebolag</t>
        </is>
      </c>
      <c r="G1885" t="n">
        <v>0.9</v>
      </c>
      <c r="H1885" t="n">
        <v>0</v>
      </c>
      <c r="I1885" t="n">
        <v>0</v>
      </c>
      <c r="J1885" t="n">
        <v>0</v>
      </c>
      <c r="K1885" t="n">
        <v>0</v>
      </c>
      <c r="L1885" t="n">
        <v>0</v>
      </c>
      <c r="M1885" t="n">
        <v>0</v>
      </c>
      <c r="N1885" t="n">
        <v>0</v>
      </c>
      <c r="O1885" t="n">
        <v>0</v>
      </c>
      <c r="P1885" t="n">
        <v>0</v>
      </c>
      <c r="Q1885" t="n">
        <v>0</v>
      </c>
      <c r="R1885" s="2" t="inlineStr"/>
    </row>
    <row r="1886" ht="15" customHeight="1">
      <c r="A1886" t="inlineStr">
        <is>
          <t>A 9695-2023</t>
        </is>
      </c>
      <c r="B1886" s="1" t="n">
        <v>44984</v>
      </c>
      <c r="C1886" s="1" t="n">
        <v>45962</v>
      </c>
      <c r="D1886" t="inlineStr">
        <is>
          <t>SKÅNE LÄN</t>
        </is>
      </c>
      <c r="E1886" t="inlineStr">
        <is>
          <t>ÖRKELLJUNGA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9697-2023</t>
        </is>
      </c>
      <c r="B1887" s="1" t="n">
        <v>44984</v>
      </c>
      <c r="C1887" s="1" t="n">
        <v>45962</v>
      </c>
      <c r="D1887" t="inlineStr">
        <is>
          <t>SKÅNE LÄN</t>
        </is>
      </c>
      <c r="E1887" t="inlineStr">
        <is>
          <t>HÄSSLEHOLM</t>
        </is>
      </c>
      <c r="G1887" t="n">
        <v>0.3</v>
      </c>
      <c r="H1887" t="n">
        <v>0</v>
      </c>
      <c r="I1887" t="n">
        <v>0</v>
      </c>
      <c r="J1887" t="n">
        <v>0</v>
      </c>
      <c r="K1887" t="n">
        <v>0</v>
      </c>
      <c r="L1887" t="n">
        <v>0</v>
      </c>
      <c r="M1887" t="n">
        <v>0</v>
      </c>
      <c r="N1887" t="n">
        <v>0</v>
      </c>
      <c r="O1887" t="n">
        <v>0</v>
      </c>
      <c r="P1887" t="n">
        <v>0</v>
      </c>
      <c r="Q1887" t="n">
        <v>0</v>
      </c>
      <c r="R1887" s="2" t="inlineStr"/>
    </row>
    <row r="1888" ht="15" customHeight="1">
      <c r="A1888" t="inlineStr">
        <is>
          <t>A 9701-2023</t>
        </is>
      </c>
      <c r="B1888" s="1" t="n">
        <v>44984</v>
      </c>
      <c r="C1888" s="1" t="n">
        <v>45962</v>
      </c>
      <c r="D1888" t="inlineStr">
        <is>
          <t>SKÅNE LÄN</t>
        </is>
      </c>
      <c r="E1888" t="inlineStr">
        <is>
          <t>HÖÖR</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29030-2023</t>
        </is>
      </c>
      <c r="B1889" s="1" t="n">
        <v>45104</v>
      </c>
      <c r="C1889" s="1" t="n">
        <v>45962</v>
      </c>
      <c r="D1889" t="inlineStr">
        <is>
          <t>SKÅNE LÄN</t>
        </is>
      </c>
      <c r="E1889" t="inlineStr">
        <is>
          <t>SVEDALA</t>
        </is>
      </c>
      <c r="G1889" t="n">
        <v>8.1</v>
      </c>
      <c r="H1889" t="n">
        <v>0</v>
      </c>
      <c r="I1889" t="n">
        <v>0</v>
      </c>
      <c r="J1889" t="n">
        <v>0</v>
      </c>
      <c r="K1889" t="n">
        <v>0</v>
      </c>
      <c r="L1889" t="n">
        <v>0</v>
      </c>
      <c r="M1889" t="n">
        <v>0</v>
      </c>
      <c r="N1889" t="n">
        <v>0</v>
      </c>
      <c r="O1889" t="n">
        <v>0</v>
      </c>
      <c r="P1889" t="n">
        <v>0</v>
      </c>
      <c r="Q1889" t="n">
        <v>0</v>
      </c>
      <c r="R1889" s="2" t="inlineStr"/>
    </row>
    <row r="1890" ht="15" customHeight="1">
      <c r="A1890" t="inlineStr">
        <is>
          <t>A 12671-2025</t>
        </is>
      </c>
      <c r="B1890" s="1" t="n">
        <v>45733</v>
      </c>
      <c r="C1890" s="1" t="n">
        <v>45962</v>
      </c>
      <c r="D1890" t="inlineStr">
        <is>
          <t>SKÅNE LÄN</t>
        </is>
      </c>
      <c r="E1890" t="inlineStr">
        <is>
          <t>ÖSTRA GÖINGE</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12680-2025</t>
        </is>
      </c>
      <c r="B1891" s="1" t="n">
        <v>45733</v>
      </c>
      <c r="C1891" s="1" t="n">
        <v>45962</v>
      </c>
      <c r="D1891" t="inlineStr">
        <is>
          <t>SKÅNE LÄN</t>
        </is>
      </c>
      <c r="E1891" t="inlineStr">
        <is>
          <t>OSBY</t>
        </is>
      </c>
      <c r="F1891" t="inlineStr">
        <is>
          <t>Sveaskog</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5476-2021</t>
        </is>
      </c>
      <c r="B1892" s="1" t="n">
        <v>44230</v>
      </c>
      <c r="C1892" s="1" t="n">
        <v>45962</v>
      </c>
      <c r="D1892" t="inlineStr">
        <is>
          <t>SKÅNE LÄN</t>
        </is>
      </c>
      <c r="E1892" t="inlineStr">
        <is>
          <t>HÄSSLEHOLM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28785-2023</t>
        </is>
      </c>
      <c r="B1893" s="1" t="n">
        <v>45104</v>
      </c>
      <c r="C1893" s="1" t="n">
        <v>45962</v>
      </c>
      <c r="D1893" t="inlineStr">
        <is>
          <t>SKÅNE LÄN</t>
        </is>
      </c>
      <c r="E1893" t="inlineStr">
        <is>
          <t>HÖRBY</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28844-2023</t>
        </is>
      </c>
      <c r="B1894" s="1" t="n">
        <v>45104</v>
      </c>
      <c r="C1894" s="1" t="n">
        <v>45962</v>
      </c>
      <c r="D1894" t="inlineStr">
        <is>
          <t>SKÅNE LÄN</t>
        </is>
      </c>
      <c r="E1894" t="inlineStr">
        <is>
          <t>KLIPPAN</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4321-2024</t>
        </is>
      </c>
      <c r="B1895" s="1" t="n">
        <v>45324.66635416666</v>
      </c>
      <c r="C1895" s="1" t="n">
        <v>45962</v>
      </c>
      <c r="D1895" t="inlineStr">
        <is>
          <t>SKÅNE LÄN</t>
        </is>
      </c>
      <c r="E1895" t="inlineStr">
        <is>
          <t>KLIPPAN</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7508-2025</t>
        </is>
      </c>
      <c r="B1896" s="1" t="n">
        <v>45702</v>
      </c>
      <c r="C1896" s="1" t="n">
        <v>45962</v>
      </c>
      <c r="D1896" t="inlineStr">
        <is>
          <t>SKÅNE LÄN</t>
        </is>
      </c>
      <c r="E1896" t="inlineStr">
        <is>
          <t>PERSTORP</t>
        </is>
      </c>
      <c r="F1896" t="inlineStr">
        <is>
          <t>Övriga Aktiebolag</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7510-2025</t>
        </is>
      </c>
      <c r="B1897" s="1" t="n">
        <v>45702</v>
      </c>
      <c r="C1897" s="1" t="n">
        <v>45962</v>
      </c>
      <c r="D1897" t="inlineStr">
        <is>
          <t>SKÅNE LÄN</t>
        </is>
      </c>
      <c r="E1897" t="inlineStr">
        <is>
          <t>PERSTORP</t>
        </is>
      </c>
      <c r="F1897" t="inlineStr">
        <is>
          <t>Övriga Aktiebolag</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10402-2024</t>
        </is>
      </c>
      <c r="B1898" s="1" t="n">
        <v>45365.68638888889</v>
      </c>
      <c r="C1898" s="1" t="n">
        <v>45962</v>
      </c>
      <c r="D1898" t="inlineStr">
        <is>
          <t>SKÅNE LÄN</t>
        </is>
      </c>
      <c r="E1898" t="inlineStr">
        <is>
          <t>OSBY</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2399-2025</t>
        </is>
      </c>
      <c r="B1899" s="1" t="n">
        <v>45672</v>
      </c>
      <c r="C1899" s="1" t="n">
        <v>45962</v>
      </c>
      <c r="D1899" t="inlineStr">
        <is>
          <t>SKÅNE LÄN</t>
        </is>
      </c>
      <c r="E1899" t="inlineStr">
        <is>
          <t>ÖRKELLJUNGA</t>
        </is>
      </c>
      <c r="G1899" t="n">
        <v>1.9</v>
      </c>
      <c r="H1899" t="n">
        <v>0</v>
      </c>
      <c r="I1899" t="n">
        <v>0</v>
      </c>
      <c r="J1899" t="n">
        <v>0</v>
      </c>
      <c r="K1899" t="n">
        <v>0</v>
      </c>
      <c r="L1899" t="n">
        <v>0</v>
      </c>
      <c r="M1899" t="n">
        <v>0</v>
      </c>
      <c r="N1899" t="n">
        <v>0</v>
      </c>
      <c r="O1899" t="n">
        <v>0</v>
      </c>
      <c r="P1899" t="n">
        <v>0</v>
      </c>
      <c r="Q1899" t="n">
        <v>0</v>
      </c>
      <c r="R1899" s="2" t="inlineStr"/>
    </row>
    <row r="1900" ht="15" customHeight="1">
      <c r="A1900" t="inlineStr">
        <is>
          <t>A 16101-2025</t>
        </is>
      </c>
      <c r="B1900" s="1" t="n">
        <v>45750.2624537037</v>
      </c>
      <c r="C1900" s="1" t="n">
        <v>45962</v>
      </c>
      <c r="D1900" t="inlineStr">
        <is>
          <t>SKÅNE LÄN</t>
        </is>
      </c>
      <c r="E1900" t="inlineStr">
        <is>
          <t>HÖRBY</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44429-2024</t>
        </is>
      </c>
      <c r="B1901" s="1" t="n">
        <v>45573.97304398148</v>
      </c>
      <c r="C1901" s="1" t="n">
        <v>45962</v>
      </c>
      <c r="D1901" t="inlineStr">
        <is>
          <t>SKÅNE LÄN</t>
        </is>
      </c>
      <c r="E1901" t="inlineStr">
        <is>
          <t>OSBY</t>
        </is>
      </c>
      <c r="G1901" t="n">
        <v>0.1</v>
      </c>
      <c r="H1901" t="n">
        <v>0</v>
      </c>
      <c r="I1901" t="n">
        <v>0</v>
      </c>
      <c r="J1901" t="n">
        <v>0</v>
      </c>
      <c r="K1901" t="n">
        <v>0</v>
      </c>
      <c r="L1901" t="n">
        <v>0</v>
      </c>
      <c r="M1901" t="n">
        <v>0</v>
      </c>
      <c r="N1901" t="n">
        <v>0</v>
      </c>
      <c r="O1901" t="n">
        <v>0</v>
      </c>
      <c r="P1901" t="n">
        <v>0</v>
      </c>
      <c r="Q1901" t="n">
        <v>0</v>
      </c>
      <c r="R1901" s="2" t="inlineStr"/>
    </row>
    <row r="1902" ht="15" customHeight="1">
      <c r="A1902" t="inlineStr">
        <is>
          <t>A 45392-2024</t>
        </is>
      </c>
      <c r="B1902" s="1" t="n">
        <v>45576.55008101852</v>
      </c>
      <c r="C1902" s="1" t="n">
        <v>45962</v>
      </c>
      <c r="D1902" t="inlineStr">
        <is>
          <t>SKÅNE LÄN</t>
        </is>
      </c>
      <c r="E1902" t="inlineStr">
        <is>
          <t>HÄSSLEHOLM</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13754-2023</t>
        </is>
      </c>
      <c r="B1903" s="1" t="n">
        <v>45007.40105324074</v>
      </c>
      <c r="C1903" s="1" t="n">
        <v>45962</v>
      </c>
      <c r="D1903" t="inlineStr">
        <is>
          <t>SKÅNE LÄN</t>
        </is>
      </c>
      <c r="E1903" t="inlineStr">
        <is>
          <t>SJÖBO</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6103-2021</t>
        </is>
      </c>
      <c r="B1904" s="1" t="n">
        <v>44232</v>
      </c>
      <c r="C1904" s="1" t="n">
        <v>45962</v>
      </c>
      <c r="D1904" t="inlineStr">
        <is>
          <t>SKÅNE LÄN</t>
        </is>
      </c>
      <c r="E1904" t="inlineStr">
        <is>
          <t>ÖSTRA GÖINGE</t>
        </is>
      </c>
      <c r="G1904" t="n">
        <v>4.4</v>
      </c>
      <c r="H1904" t="n">
        <v>0</v>
      </c>
      <c r="I1904" t="n">
        <v>0</v>
      </c>
      <c r="J1904" t="n">
        <v>0</v>
      </c>
      <c r="K1904" t="n">
        <v>0</v>
      </c>
      <c r="L1904" t="n">
        <v>0</v>
      </c>
      <c r="M1904" t="n">
        <v>0</v>
      </c>
      <c r="N1904" t="n">
        <v>0</v>
      </c>
      <c r="O1904" t="n">
        <v>0</v>
      </c>
      <c r="P1904" t="n">
        <v>0</v>
      </c>
      <c r="Q1904" t="n">
        <v>0</v>
      </c>
      <c r="R1904" s="2" t="inlineStr"/>
    </row>
    <row r="1905" ht="15" customHeight="1">
      <c r="A1905" t="inlineStr">
        <is>
          <t>A 6122-2021</t>
        </is>
      </c>
      <c r="B1905" s="1" t="n">
        <v>44232.55091435185</v>
      </c>
      <c r="C1905" s="1" t="n">
        <v>45962</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16454-2023</t>
        </is>
      </c>
      <c r="B1906" s="1" t="n">
        <v>45029.48425925926</v>
      </c>
      <c r="C1906" s="1" t="n">
        <v>45962</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14232-2023</t>
        </is>
      </c>
      <c r="B1907" s="1" t="n">
        <v>45009.64487268519</v>
      </c>
      <c r="C1907" s="1" t="n">
        <v>45962</v>
      </c>
      <c r="D1907" t="inlineStr">
        <is>
          <t>SKÅNE LÄN</t>
        </is>
      </c>
      <c r="E1907" t="inlineStr">
        <is>
          <t>KRISTIANSTAD</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26928-2021</t>
        </is>
      </c>
      <c r="B1908" s="1" t="n">
        <v>44349.71498842593</v>
      </c>
      <c r="C1908" s="1" t="n">
        <v>45962</v>
      </c>
      <c r="D1908" t="inlineStr">
        <is>
          <t>SKÅNE LÄN</t>
        </is>
      </c>
      <c r="E1908" t="inlineStr">
        <is>
          <t>OSBY</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18322-2022</t>
        </is>
      </c>
      <c r="B1909" s="1" t="n">
        <v>44685</v>
      </c>
      <c r="C1909" s="1" t="n">
        <v>45962</v>
      </c>
      <c r="D1909" t="inlineStr">
        <is>
          <t>SKÅNE LÄN</t>
        </is>
      </c>
      <c r="E1909" t="inlineStr">
        <is>
          <t>KRISTIANSTAD</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11786-2022</t>
        </is>
      </c>
      <c r="B1910" s="1" t="n">
        <v>44634</v>
      </c>
      <c r="C1910" s="1" t="n">
        <v>45962</v>
      </c>
      <c r="D1910" t="inlineStr">
        <is>
          <t>SKÅNE LÄN</t>
        </is>
      </c>
      <c r="E1910" t="inlineStr">
        <is>
          <t>KRISTIANSTAD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17335-2024</t>
        </is>
      </c>
      <c r="B1911" s="1" t="n">
        <v>45414.5687962963</v>
      </c>
      <c r="C1911" s="1" t="n">
        <v>45962</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11505-2023</t>
        </is>
      </c>
      <c r="B1912" s="1" t="n">
        <v>44993</v>
      </c>
      <c r="C1912" s="1" t="n">
        <v>45962</v>
      </c>
      <c r="D1912" t="inlineStr">
        <is>
          <t>SKÅNE LÄN</t>
        </is>
      </c>
      <c r="E1912" t="inlineStr">
        <is>
          <t>KRISTIANSTAD</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14255-2024</t>
        </is>
      </c>
      <c r="B1913" s="1" t="n">
        <v>45393</v>
      </c>
      <c r="C1913" s="1" t="n">
        <v>45962</v>
      </c>
      <c r="D1913" t="inlineStr">
        <is>
          <t>SKÅNE LÄN</t>
        </is>
      </c>
      <c r="E1913" t="inlineStr">
        <is>
          <t>HÄSSLEHOLM</t>
        </is>
      </c>
      <c r="G1913" t="n">
        <v>11.9</v>
      </c>
      <c r="H1913" t="n">
        <v>0</v>
      </c>
      <c r="I1913" t="n">
        <v>0</v>
      </c>
      <c r="J1913" t="n">
        <v>0</v>
      </c>
      <c r="K1913" t="n">
        <v>0</v>
      </c>
      <c r="L1913" t="n">
        <v>0</v>
      </c>
      <c r="M1913" t="n">
        <v>0</v>
      </c>
      <c r="N1913" t="n">
        <v>0</v>
      </c>
      <c r="O1913" t="n">
        <v>0</v>
      </c>
      <c r="P1913" t="n">
        <v>0</v>
      </c>
      <c r="Q1913" t="n">
        <v>0</v>
      </c>
      <c r="R1913" s="2" t="inlineStr"/>
    </row>
    <row r="1914" ht="15" customHeight="1">
      <c r="A1914" t="inlineStr">
        <is>
          <t>A 42232-2022</t>
        </is>
      </c>
      <c r="B1914" s="1" t="n">
        <v>44830.77591435185</v>
      </c>
      <c r="C1914" s="1" t="n">
        <v>45962</v>
      </c>
      <c r="D1914" t="inlineStr">
        <is>
          <t>SKÅNE LÄN</t>
        </is>
      </c>
      <c r="E1914" t="inlineStr">
        <is>
          <t>HÄSSLEHOLM</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47136-2022</t>
        </is>
      </c>
      <c r="B1915" s="1" t="n">
        <v>44848</v>
      </c>
      <c r="C1915" s="1" t="n">
        <v>45962</v>
      </c>
      <c r="D1915" t="inlineStr">
        <is>
          <t>SKÅNE LÄN</t>
        </is>
      </c>
      <c r="E1915" t="inlineStr">
        <is>
          <t>HÖÖR</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25839-2023</t>
        </is>
      </c>
      <c r="B1916" s="1" t="n">
        <v>45090</v>
      </c>
      <c r="C1916" s="1" t="n">
        <v>45962</v>
      </c>
      <c r="D1916" t="inlineStr">
        <is>
          <t>SKÅNE LÄN</t>
        </is>
      </c>
      <c r="E1916" t="inlineStr">
        <is>
          <t>KRISTIANSTAD</t>
        </is>
      </c>
      <c r="G1916" t="n">
        <v>5.3</v>
      </c>
      <c r="H1916" t="n">
        <v>0</v>
      </c>
      <c r="I1916" t="n">
        <v>0</v>
      </c>
      <c r="J1916" t="n">
        <v>0</v>
      </c>
      <c r="K1916" t="n">
        <v>0</v>
      </c>
      <c r="L1916" t="n">
        <v>0</v>
      </c>
      <c r="M1916" t="n">
        <v>0</v>
      </c>
      <c r="N1916" t="n">
        <v>0</v>
      </c>
      <c r="O1916" t="n">
        <v>0</v>
      </c>
      <c r="P1916" t="n">
        <v>0</v>
      </c>
      <c r="Q1916" t="n">
        <v>0</v>
      </c>
      <c r="R1916" s="2" t="inlineStr"/>
    </row>
    <row r="1917" ht="15" customHeight="1">
      <c r="A1917" t="inlineStr">
        <is>
          <t>A 751-2025</t>
        </is>
      </c>
      <c r="B1917" s="1" t="n">
        <v>45665.44560185185</v>
      </c>
      <c r="C1917" s="1" t="n">
        <v>45962</v>
      </c>
      <c r="D1917" t="inlineStr">
        <is>
          <t>SKÅNE LÄN</t>
        </is>
      </c>
      <c r="E1917" t="inlineStr">
        <is>
          <t>KRISTIANSTAD</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62473-2023</t>
        </is>
      </c>
      <c r="B1918" s="1" t="n">
        <v>45267</v>
      </c>
      <c r="C1918" s="1" t="n">
        <v>45962</v>
      </c>
      <c r="D1918" t="inlineStr">
        <is>
          <t>SKÅNE LÄN</t>
        </is>
      </c>
      <c r="E1918" t="inlineStr">
        <is>
          <t>KLIPPAN</t>
        </is>
      </c>
      <c r="F1918" t="inlineStr">
        <is>
          <t>Övriga Aktiebolag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50294-2024</t>
        </is>
      </c>
      <c r="B1919" s="1" t="n">
        <v>45600.62240740741</v>
      </c>
      <c r="C1919" s="1" t="n">
        <v>45962</v>
      </c>
      <c r="D1919" t="inlineStr">
        <is>
          <t>SKÅNE LÄN</t>
        </is>
      </c>
      <c r="E1919" t="inlineStr">
        <is>
          <t>KRISTIANSTAD</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57428-2023</t>
        </is>
      </c>
      <c r="B1920" s="1" t="n">
        <v>45240</v>
      </c>
      <c r="C1920" s="1" t="n">
        <v>45962</v>
      </c>
      <c r="D1920" t="inlineStr">
        <is>
          <t>SKÅNE LÄN</t>
        </is>
      </c>
      <c r="E1920" t="inlineStr">
        <is>
          <t>HÖÖR</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28501-2023</t>
        </is>
      </c>
      <c r="B1921" s="1" t="n">
        <v>45103</v>
      </c>
      <c r="C1921" s="1" t="n">
        <v>45962</v>
      </c>
      <c r="D1921" t="inlineStr">
        <is>
          <t>SKÅNE LÄN</t>
        </is>
      </c>
      <c r="E1921" t="inlineStr">
        <is>
          <t>HÖRBY</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28527-2023</t>
        </is>
      </c>
      <c r="B1922" s="1" t="n">
        <v>45103</v>
      </c>
      <c r="C1922" s="1" t="n">
        <v>45962</v>
      </c>
      <c r="D1922" t="inlineStr">
        <is>
          <t>SKÅNE LÄN</t>
        </is>
      </c>
      <c r="E1922" t="inlineStr">
        <is>
          <t>HÖRBY</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24246-2023</t>
        </is>
      </c>
      <c r="B1923" s="1" t="n">
        <v>45079</v>
      </c>
      <c r="C1923" s="1" t="n">
        <v>45962</v>
      </c>
      <c r="D1923" t="inlineStr">
        <is>
          <t>SKÅNE LÄN</t>
        </is>
      </c>
      <c r="E1923" t="inlineStr">
        <is>
          <t>HÄSSLEHOLM</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24249-2023</t>
        </is>
      </c>
      <c r="B1924" s="1" t="n">
        <v>45079.62466435185</v>
      </c>
      <c r="C1924" s="1" t="n">
        <v>45962</v>
      </c>
      <c r="D1924" t="inlineStr">
        <is>
          <t>SKÅNE LÄN</t>
        </is>
      </c>
      <c r="E1924" t="inlineStr">
        <is>
          <t>HÄSSLEHOLM</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8380-2023</t>
        </is>
      </c>
      <c r="B1925" s="1" t="n">
        <v>44977</v>
      </c>
      <c r="C1925" s="1" t="n">
        <v>45962</v>
      </c>
      <c r="D1925" t="inlineStr">
        <is>
          <t>SKÅNE LÄN</t>
        </is>
      </c>
      <c r="E1925" t="inlineStr">
        <is>
          <t>ÖSTRA GÖINGE</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59679-2023</t>
        </is>
      </c>
      <c r="B1926" s="1" t="n">
        <v>45255.59284722222</v>
      </c>
      <c r="C1926" s="1" t="n">
        <v>45962</v>
      </c>
      <c r="D1926" t="inlineStr">
        <is>
          <t>SKÅNE LÄN</t>
        </is>
      </c>
      <c r="E1926" t="inlineStr">
        <is>
          <t>OSBY</t>
        </is>
      </c>
      <c r="G1926" t="n">
        <v>15.6</v>
      </c>
      <c r="H1926" t="n">
        <v>0</v>
      </c>
      <c r="I1926" t="n">
        <v>0</v>
      </c>
      <c r="J1926" t="n">
        <v>0</v>
      </c>
      <c r="K1926" t="n">
        <v>0</v>
      </c>
      <c r="L1926" t="n">
        <v>0</v>
      </c>
      <c r="M1926" t="n">
        <v>0</v>
      </c>
      <c r="N1926" t="n">
        <v>0</v>
      </c>
      <c r="O1926" t="n">
        <v>0</v>
      </c>
      <c r="P1926" t="n">
        <v>0</v>
      </c>
      <c r="Q1926" t="n">
        <v>0</v>
      </c>
      <c r="R1926" s="2" t="inlineStr"/>
    </row>
    <row r="1927" ht="15" customHeight="1">
      <c r="A1927" t="inlineStr">
        <is>
          <t>A 18332-2025</t>
        </is>
      </c>
      <c r="B1927" s="1" t="n">
        <v>45762</v>
      </c>
      <c r="C1927" s="1" t="n">
        <v>45962</v>
      </c>
      <c r="D1927" t="inlineStr">
        <is>
          <t>SKÅNE LÄN</t>
        </is>
      </c>
      <c r="E1927" t="inlineStr">
        <is>
          <t>BÅSTAD</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7782-2022</t>
        </is>
      </c>
      <c r="B1928" s="1" t="n">
        <v>44608</v>
      </c>
      <c r="C1928" s="1" t="n">
        <v>45962</v>
      </c>
      <c r="D1928" t="inlineStr">
        <is>
          <t>SKÅNE LÄN</t>
        </is>
      </c>
      <c r="E1928" t="inlineStr">
        <is>
          <t>HÖÖR</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14731-2021</t>
        </is>
      </c>
      <c r="B1929" s="1" t="n">
        <v>44280</v>
      </c>
      <c r="C1929" s="1" t="n">
        <v>45962</v>
      </c>
      <c r="D1929" t="inlineStr">
        <is>
          <t>SKÅNE LÄN</t>
        </is>
      </c>
      <c r="E1929" t="inlineStr">
        <is>
          <t>OSBY</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6955-2024</t>
        </is>
      </c>
      <c r="B1930" s="1" t="n">
        <v>45343</v>
      </c>
      <c r="C1930" s="1" t="n">
        <v>45962</v>
      </c>
      <c r="D1930" t="inlineStr">
        <is>
          <t>SKÅNE LÄN</t>
        </is>
      </c>
      <c r="E1930" t="inlineStr">
        <is>
          <t>KRISTIANSTAD</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66505-2020</t>
        </is>
      </c>
      <c r="B1931" s="1" t="n">
        <v>44178</v>
      </c>
      <c r="C1931" s="1" t="n">
        <v>45962</v>
      </c>
      <c r="D1931" t="inlineStr">
        <is>
          <t>SKÅNE LÄN</t>
        </is>
      </c>
      <c r="E1931" t="inlineStr">
        <is>
          <t>HÖÖR</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35676-2023</t>
        </is>
      </c>
      <c r="B1932" s="1" t="n">
        <v>45147</v>
      </c>
      <c r="C1932" s="1" t="n">
        <v>45962</v>
      </c>
      <c r="D1932" t="inlineStr">
        <is>
          <t>SKÅNE LÄN</t>
        </is>
      </c>
      <c r="E1932" t="inlineStr">
        <is>
          <t>ÖSTRA GÖINGE</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58360-2023</t>
        </is>
      </c>
      <c r="B1933" s="1" t="n">
        <v>45250</v>
      </c>
      <c r="C1933" s="1" t="n">
        <v>45962</v>
      </c>
      <c r="D1933" t="inlineStr">
        <is>
          <t>SKÅNE LÄN</t>
        </is>
      </c>
      <c r="E1933" t="inlineStr">
        <is>
          <t>HÖRBY</t>
        </is>
      </c>
      <c r="G1933" t="n">
        <v>2.5</v>
      </c>
      <c r="H1933" t="n">
        <v>0</v>
      </c>
      <c r="I1933" t="n">
        <v>0</v>
      </c>
      <c r="J1933" t="n">
        <v>0</v>
      </c>
      <c r="K1933" t="n">
        <v>0</v>
      </c>
      <c r="L1933" t="n">
        <v>0</v>
      </c>
      <c r="M1933" t="n">
        <v>0</v>
      </c>
      <c r="N1933" t="n">
        <v>0</v>
      </c>
      <c r="O1933" t="n">
        <v>0</v>
      </c>
      <c r="P1933" t="n">
        <v>0</v>
      </c>
      <c r="Q1933" t="n">
        <v>0</v>
      </c>
      <c r="R1933" s="2" t="inlineStr"/>
    </row>
    <row r="1934" ht="15" customHeight="1">
      <c r="A1934" t="inlineStr">
        <is>
          <t>A 721-2024</t>
        </is>
      </c>
      <c r="B1934" s="1" t="n">
        <v>45300</v>
      </c>
      <c r="C1934" s="1" t="n">
        <v>45962</v>
      </c>
      <c r="D1934" t="inlineStr">
        <is>
          <t>SKÅNE LÄN</t>
        </is>
      </c>
      <c r="E1934" t="inlineStr">
        <is>
          <t>KRISTIANSTAD</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37784-2022</t>
        </is>
      </c>
      <c r="B1935" s="1" t="n">
        <v>44810</v>
      </c>
      <c r="C1935" s="1" t="n">
        <v>45962</v>
      </c>
      <c r="D1935" t="inlineStr">
        <is>
          <t>SKÅNE LÄN</t>
        </is>
      </c>
      <c r="E1935" t="inlineStr">
        <is>
          <t>ÖSTRA GÖINGE</t>
        </is>
      </c>
      <c r="F1935" t="inlineStr">
        <is>
          <t>Kyrkan</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37038-2022</t>
        </is>
      </c>
      <c r="B1936" s="1" t="n">
        <v>44806.44232638889</v>
      </c>
      <c r="C1936" s="1" t="n">
        <v>45962</v>
      </c>
      <c r="D1936" t="inlineStr">
        <is>
          <t>SKÅNE LÄN</t>
        </is>
      </c>
      <c r="E1936" t="inlineStr">
        <is>
          <t>HÄSSLEHOLM</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22699-2024</t>
        </is>
      </c>
      <c r="B1937" s="1" t="n">
        <v>45448.32910879629</v>
      </c>
      <c r="C1937" s="1" t="n">
        <v>45962</v>
      </c>
      <c r="D1937" t="inlineStr">
        <is>
          <t>SKÅNE LÄN</t>
        </is>
      </c>
      <c r="E1937" t="inlineStr">
        <is>
          <t>ÖRKELLJUNGA</t>
        </is>
      </c>
      <c r="G1937" t="n">
        <v>0.4</v>
      </c>
      <c r="H1937" t="n">
        <v>0</v>
      </c>
      <c r="I1937" t="n">
        <v>0</v>
      </c>
      <c r="J1937" t="n">
        <v>0</v>
      </c>
      <c r="K1937" t="n">
        <v>0</v>
      </c>
      <c r="L1937" t="n">
        <v>0</v>
      </c>
      <c r="M1937" t="n">
        <v>0</v>
      </c>
      <c r="N1937" t="n">
        <v>0</v>
      </c>
      <c r="O1937" t="n">
        <v>0</v>
      </c>
      <c r="P1937" t="n">
        <v>0</v>
      </c>
      <c r="Q1937" t="n">
        <v>0</v>
      </c>
      <c r="R1937" s="2" t="inlineStr"/>
    </row>
    <row r="1938" ht="15" customHeight="1">
      <c r="A1938" t="inlineStr">
        <is>
          <t>A 31989-2024</t>
        </is>
      </c>
      <c r="B1938" s="1" t="n">
        <v>45510.58085648148</v>
      </c>
      <c r="C1938" s="1" t="n">
        <v>45962</v>
      </c>
      <c r="D1938" t="inlineStr">
        <is>
          <t>SKÅNE LÄN</t>
        </is>
      </c>
      <c r="E1938" t="inlineStr">
        <is>
          <t>HÄSSLEHOLM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1120-2024</t>
        </is>
      </c>
      <c r="B1939" s="1" t="n">
        <v>45302.4452662037</v>
      </c>
      <c r="C1939" s="1" t="n">
        <v>45962</v>
      </c>
      <c r="D1939" t="inlineStr">
        <is>
          <t>SKÅNE LÄN</t>
        </is>
      </c>
      <c r="E1939" t="inlineStr">
        <is>
          <t>HÄSSLEHOLM</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56056-2023</t>
        </is>
      </c>
      <c r="B1940" s="1" t="n">
        <v>45233</v>
      </c>
      <c r="C1940" s="1" t="n">
        <v>45962</v>
      </c>
      <c r="D1940" t="inlineStr">
        <is>
          <t>SKÅNE LÄN</t>
        </is>
      </c>
      <c r="E1940" t="inlineStr">
        <is>
          <t>BROMÖLLA</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70984-2021</t>
        </is>
      </c>
      <c r="B1941" s="1" t="n">
        <v>44538</v>
      </c>
      <c r="C1941" s="1" t="n">
        <v>45962</v>
      </c>
      <c r="D1941" t="inlineStr">
        <is>
          <t>SKÅNE LÄN</t>
        </is>
      </c>
      <c r="E1941" t="inlineStr">
        <is>
          <t>HÖÖR</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8500-2023</t>
        </is>
      </c>
      <c r="B1942" s="1" t="n">
        <v>44977</v>
      </c>
      <c r="C1942" s="1" t="n">
        <v>45962</v>
      </c>
      <c r="D1942" t="inlineStr">
        <is>
          <t>SKÅNE LÄN</t>
        </is>
      </c>
      <c r="E1942" t="inlineStr">
        <is>
          <t>KLIPPAN</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54894-2023</t>
        </is>
      </c>
      <c r="B1943" s="1" t="n">
        <v>45236.63965277778</v>
      </c>
      <c r="C1943" s="1" t="n">
        <v>45962</v>
      </c>
      <c r="D1943" t="inlineStr">
        <is>
          <t>SKÅNE LÄN</t>
        </is>
      </c>
      <c r="E1943" t="inlineStr">
        <is>
          <t>HÖRBY</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4149-2022</t>
        </is>
      </c>
      <c r="B1944" s="1" t="n">
        <v>44588</v>
      </c>
      <c r="C1944" s="1" t="n">
        <v>45962</v>
      </c>
      <c r="D1944" t="inlineStr">
        <is>
          <t>SKÅNE LÄN</t>
        </is>
      </c>
      <c r="E1944" t="inlineStr">
        <is>
          <t>SVALÖV</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32702-2023</t>
        </is>
      </c>
      <c r="B1945" s="1" t="n">
        <v>45121</v>
      </c>
      <c r="C1945" s="1" t="n">
        <v>45962</v>
      </c>
      <c r="D1945" t="inlineStr">
        <is>
          <t>SKÅNE LÄN</t>
        </is>
      </c>
      <c r="E1945" t="inlineStr">
        <is>
          <t>KRISTIANSTAD</t>
        </is>
      </c>
      <c r="F1945" t="inlineStr">
        <is>
          <t>Sveaskog</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40595-2021</t>
        </is>
      </c>
      <c r="B1946" s="1" t="n">
        <v>44420.47767361111</v>
      </c>
      <c r="C1946" s="1" t="n">
        <v>45962</v>
      </c>
      <c r="D1946" t="inlineStr">
        <is>
          <t>SKÅNE LÄN</t>
        </is>
      </c>
      <c r="E1946" t="inlineStr">
        <is>
          <t>HÖÖR</t>
        </is>
      </c>
      <c r="G1946" t="n">
        <v>2.3</v>
      </c>
      <c r="H1946" t="n">
        <v>0</v>
      </c>
      <c r="I1946" t="n">
        <v>0</v>
      </c>
      <c r="J1946" t="n">
        <v>0</v>
      </c>
      <c r="K1946" t="n">
        <v>0</v>
      </c>
      <c r="L1946" t="n">
        <v>0</v>
      </c>
      <c r="M1946" t="n">
        <v>0</v>
      </c>
      <c r="N1946" t="n">
        <v>0</v>
      </c>
      <c r="O1946" t="n">
        <v>0</v>
      </c>
      <c r="P1946" t="n">
        <v>0</v>
      </c>
      <c r="Q1946" t="n">
        <v>0</v>
      </c>
      <c r="R1946" s="2" t="inlineStr"/>
    </row>
    <row r="1947" ht="15" customHeight="1">
      <c r="A1947" t="inlineStr">
        <is>
          <t>A 60973-2024</t>
        </is>
      </c>
      <c r="B1947" s="1" t="n">
        <v>45644</v>
      </c>
      <c r="C1947" s="1" t="n">
        <v>45962</v>
      </c>
      <c r="D1947" t="inlineStr">
        <is>
          <t>SKÅNE LÄN</t>
        </is>
      </c>
      <c r="E1947" t="inlineStr">
        <is>
          <t>HÄSSLEHOLM</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61007-2024</t>
        </is>
      </c>
      <c r="B1948" s="1" t="n">
        <v>45645.44342592593</v>
      </c>
      <c r="C1948" s="1" t="n">
        <v>45962</v>
      </c>
      <c r="D1948" t="inlineStr">
        <is>
          <t>SKÅNE LÄN</t>
        </is>
      </c>
      <c r="E1948" t="inlineStr">
        <is>
          <t>HÖÖR</t>
        </is>
      </c>
      <c r="F1948" t="inlineStr">
        <is>
          <t>Kommuner</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50728-2023</t>
        </is>
      </c>
      <c r="B1949" s="1" t="n">
        <v>45217.57601851852</v>
      </c>
      <c r="C1949" s="1" t="n">
        <v>45962</v>
      </c>
      <c r="D1949" t="inlineStr">
        <is>
          <t>SKÅNE LÄN</t>
        </is>
      </c>
      <c r="E1949" t="inlineStr">
        <is>
          <t>OSBY</t>
        </is>
      </c>
      <c r="F1949" t="inlineStr">
        <is>
          <t>Kommuner</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5894-2023</t>
        </is>
      </c>
      <c r="B1950" s="1" t="n">
        <v>44963.65148148148</v>
      </c>
      <c r="C1950" s="1" t="n">
        <v>45962</v>
      </c>
      <c r="D1950" t="inlineStr">
        <is>
          <t>SKÅNE LÄN</t>
        </is>
      </c>
      <c r="E1950" t="inlineStr">
        <is>
          <t>HÄSSLEHOLM</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61020-2024</t>
        </is>
      </c>
      <c r="B1951" s="1" t="n">
        <v>45645.45321759259</v>
      </c>
      <c r="C1951" s="1" t="n">
        <v>45962</v>
      </c>
      <c r="D1951" t="inlineStr">
        <is>
          <t>SKÅNE LÄN</t>
        </is>
      </c>
      <c r="E1951" t="inlineStr">
        <is>
          <t>ESLÖV</t>
        </is>
      </c>
      <c r="G1951" t="n">
        <v>4.9</v>
      </c>
      <c r="H1951" t="n">
        <v>0</v>
      </c>
      <c r="I1951" t="n">
        <v>0</v>
      </c>
      <c r="J1951" t="n">
        <v>0</v>
      </c>
      <c r="K1951" t="n">
        <v>0</v>
      </c>
      <c r="L1951" t="n">
        <v>0</v>
      </c>
      <c r="M1951" t="n">
        <v>0</v>
      </c>
      <c r="N1951" t="n">
        <v>0</v>
      </c>
      <c r="O1951" t="n">
        <v>0</v>
      </c>
      <c r="P1951" t="n">
        <v>0</v>
      </c>
      <c r="Q1951" t="n">
        <v>0</v>
      </c>
      <c r="R1951" s="2" t="inlineStr"/>
    </row>
    <row r="1952" ht="15" customHeight="1">
      <c r="A1952" t="inlineStr">
        <is>
          <t>A 61147-2021</t>
        </is>
      </c>
      <c r="B1952" s="1" t="n">
        <v>44497</v>
      </c>
      <c r="C1952" s="1" t="n">
        <v>45962</v>
      </c>
      <c r="D1952" t="inlineStr">
        <is>
          <t>SKÅNE LÄN</t>
        </is>
      </c>
      <c r="E1952" t="inlineStr">
        <is>
          <t>KRISTIANSTAD</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8290-2024</t>
        </is>
      </c>
      <c r="B1953" s="1" t="n">
        <v>45352</v>
      </c>
      <c r="C1953" s="1" t="n">
        <v>45962</v>
      </c>
      <c r="D1953" t="inlineStr">
        <is>
          <t>SKÅNE LÄN</t>
        </is>
      </c>
      <c r="E1953" t="inlineStr">
        <is>
          <t>KRISTIANSTAD</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53773-2023</t>
        </is>
      </c>
      <c r="B1954" s="1" t="n">
        <v>45231.09202546296</v>
      </c>
      <c r="C1954" s="1" t="n">
        <v>45962</v>
      </c>
      <c r="D1954" t="inlineStr">
        <is>
          <t>SKÅNE LÄN</t>
        </is>
      </c>
      <c r="E1954" t="inlineStr">
        <is>
          <t>OSBY</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53774-2023</t>
        </is>
      </c>
      <c r="B1955" s="1" t="n">
        <v>45231.09993055555</v>
      </c>
      <c r="C1955" s="1" t="n">
        <v>45962</v>
      </c>
      <c r="D1955" t="inlineStr">
        <is>
          <t>SKÅNE LÄN</t>
        </is>
      </c>
      <c r="E1955" t="inlineStr">
        <is>
          <t>OSBY</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28250-2023</t>
        </is>
      </c>
      <c r="B1956" s="1" t="n">
        <v>45099.60018518518</v>
      </c>
      <c r="C1956" s="1" t="n">
        <v>45962</v>
      </c>
      <c r="D1956" t="inlineStr">
        <is>
          <t>SKÅNE LÄN</t>
        </is>
      </c>
      <c r="E1956" t="inlineStr">
        <is>
          <t>HELSINGBORG</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12338-2024</t>
        </is>
      </c>
      <c r="B1957" s="1" t="n">
        <v>45378.72869212963</v>
      </c>
      <c r="C1957" s="1" t="n">
        <v>45962</v>
      </c>
      <c r="D1957" t="inlineStr">
        <is>
          <t>SKÅNE LÄN</t>
        </is>
      </c>
      <c r="E1957" t="inlineStr">
        <is>
          <t>HÄSSLEHOLM</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55933-2023</t>
        </is>
      </c>
      <c r="B1958" s="1" t="n">
        <v>45239</v>
      </c>
      <c r="C1958" s="1" t="n">
        <v>45962</v>
      </c>
      <c r="D1958" t="inlineStr">
        <is>
          <t>SKÅNE LÄN</t>
        </is>
      </c>
      <c r="E1958" t="inlineStr">
        <is>
          <t>ÖSTRA GÖINGE</t>
        </is>
      </c>
      <c r="G1958" t="n">
        <v>10.6</v>
      </c>
      <c r="H1958" t="n">
        <v>0</v>
      </c>
      <c r="I1958" t="n">
        <v>0</v>
      </c>
      <c r="J1958" t="n">
        <v>0</v>
      </c>
      <c r="K1958" t="n">
        <v>0</v>
      </c>
      <c r="L1958" t="n">
        <v>0</v>
      </c>
      <c r="M1958" t="n">
        <v>0</v>
      </c>
      <c r="N1958" t="n">
        <v>0</v>
      </c>
      <c r="O1958" t="n">
        <v>0</v>
      </c>
      <c r="P1958" t="n">
        <v>0</v>
      </c>
      <c r="Q1958" t="n">
        <v>0</v>
      </c>
      <c r="R1958" s="2" t="inlineStr"/>
    </row>
    <row r="1959" ht="15" customHeight="1">
      <c r="A1959" t="inlineStr">
        <is>
          <t>A 35552-2023</t>
        </is>
      </c>
      <c r="B1959" s="1" t="n">
        <v>45146</v>
      </c>
      <c r="C1959" s="1" t="n">
        <v>45962</v>
      </c>
      <c r="D1959" t="inlineStr">
        <is>
          <t>SKÅNE LÄN</t>
        </is>
      </c>
      <c r="E1959" t="inlineStr">
        <is>
          <t>ÖSTRA GÖINGE</t>
        </is>
      </c>
      <c r="G1959" t="n">
        <v>2.6</v>
      </c>
      <c r="H1959" t="n">
        <v>0</v>
      </c>
      <c r="I1959" t="n">
        <v>0</v>
      </c>
      <c r="J1959" t="n">
        <v>0</v>
      </c>
      <c r="K1959" t="n">
        <v>0</v>
      </c>
      <c r="L1959" t="n">
        <v>0</v>
      </c>
      <c r="M1959" t="n">
        <v>0</v>
      </c>
      <c r="N1959" t="n">
        <v>0</v>
      </c>
      <c r="O1959" t="n">
        <v>0</v>
      </c>
      <c r="P1959" t="n">
        <v>0</v>
      </c>
      <c r="Q1959" t="n">
        <v>0</v>
      </c>
      <c r="R1959" s="2" t="inlineStr"/>
    </row>
    <row r="1960" ht="15" customHeight="1">
      <c r="A1960" t="inlineStr">
        <is>
          <t>A 22553-2021</t>
        </is>
      </c>
      <c r="B1960" s="1" t="n">
        <v>44326</v>
      </c>
      <c r="C1960" s="1" t="n">
        <v>45962</v>
      </c>
      <c r="D1960" t="inlineStr">
        <is>
          <t>SKÅNE LÄN</t>
        </is>
      </c>
      <c r="E1960" t="inlineStr">
        <is>
          <t>ÖSTRA GÖINGE</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27478-2023</t>
        </is>
      </c>
      <c r="B1961" s="1" t="n">
        <v>45092</v>
      </c>
      <c r="C1961" s="1" t="n">
        <v>45962</v>
      </c>
      <c r="D1961" t="inlineStr">
        <is>
          <t>SKÅNE LÄN</t>
        </is>
      </c>
      <c r="E1961" t="inlineStr">
        <is>
          <t>HÄSSLEHOLM</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37898-2021</t>
        </is>
      </c>
      <c r="B1962" s="1" t="n">
        <v>44403</v>
      </c>
      <c r="C1962" s="1" t="n">
        <v>45962</v>
      </c>
      <c r="D1962" t="inlineStr">
        <is>
          <t>SKÅNE LÄN</t>
        </is>
      </c>
      <c r="E1962" t="inlineStr">
        <is>
          <t>HÄSSLEHOLM</t>
        </is>
      </c>
      <c r="F1962" t="inlineStr">
        <is>
          <t>Kommuner</t>
        </is>
      </c>
      <c r="G1962" t="n">
        <v>8.4</v>
      </c>
      <c r="H1962" t="n">
        <v>0</v>
      </c>
      <c r="I1962" t="n">
        <v>0</v>
      </c>
      <c r="J1962" t="n">
        <v>0</v>
      </c>
      <c r="K1962" t="n">
        <v>0</v>
      </c>
      <c r="L1962" t="n">
        <v>0</v>
      </c>
      <c r="M1962" t="n">
        <v>0</v>
      </c>
      <c r="N1962" t="n">
        <v>0</v>
      </c>
      <c r="O1962" t="n">
        <v>0</v>
      </c>
      <c r="P1962" t="n">
        <v>0</v>
      </c>
      <c r="Q1962" t="n">
        <v>0</v>
      </c>
      <c r="R1962" s="2" t="inlineStr"/>
    </row>
    <row r="1963" ht="15" customHeight="1">
      <c r="A1963" t="inlineStr">
        <is>
          <t>A 9502-2023</t>
        </is>
      </c>
      <c r="B1963" s="1" t="n">
        <v>44981.63278935185</v>
      </c>
      <c r="C1963" s="1" t="n">
        <v>45962</v>
      </c>
      <c r="D1963" t="inlineStr">
        <is>
          <t>SKÅNE LÄN</t>
        </is>
      </c>
      <c r="E1963" t="inlineStr">
        <is>
          <t>HÄSSLEHOLM</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13975-2025</t>
        </is>
      </c>
      <c r="B1964" s="1" t="n">
        <v>45738</v>
      </c>
      <c r="C1964" s="1" t="n">
        <v>45962</v>
      </c>
      <c r="D1964" t="inlineStr">
        <is>
          <t>SKÅNE LÄN</t>
        </is>
      </c>
      <c r="E1964" t="inlineStr">
        <is>
          <t>KRISTIANSTAD</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13976-2025</t>
        </is>
      </c>
      <c r="B1965" s="1" t="n">
        <v>45738.68306712963</v>
      </c>
      <c r="C1965" s="1" t="n">
        <v>45962</v>
      </c>
      <c r="D1965" t="inlineStr">
        <is>
          <t>SKÅNE LÄN</t>
        </is>
      </c>
      <c r="E1965" t="inlineStr">
        <is>
          <t>KRISTIANSTAD</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5723-2023</t>
        </is>
      </c>
      <c r="B1966" s="1" t="n">
        <v>44961</v>
      </c>
      <c r="C1966" s="1" t="n">
        <v>45962</v>
      </c>
      <c r="D1966" t="inlineStr">
        <is>
          <t>SKÅNE LÄN</t>
        </is>
      </c>
      <c r="E1966" t="inlineStr">
        <is>
          <t>KRISTIANSTAD</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26258-2024</t>
        </is>
      </c>
      <c r="B1967" s="1" t="n">
        <v>45468</v>
      </c>
      <c r="C1967" s="1" t="n">
        <v>45962</v>
      </c>
      <c r="D1967" t="inlineStr">
        <is>
          <t>SKÅNE LÄN</t>
        </is>
      </c>
      <c r="E1967" t="inlineStr">
        <is>
          <t>KRISTIANSTAD</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26262-2024</t>
        </is>
      </c>
      <c r="B1968" s="1" t="n">
        <v>45468.66077546297</v>
      </c>
      <c r="C1968" s="1" t="n">
        <v>45962</v>
      </c>
      <c r="D1968" t="inlineStr">
        <is>
          <t>SKÅNE LÄN</t>
        </is>
      </c>
      <c r="E1968" t="inlineStr">
        <is>
          <t>ÅSTORP</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8438-2024</t>
        </is>
      </c>
      <c r="B1969" s="1" t="n">
        <v>45353.85016203704</v>
      </c>
      <c r="C1969" s="1" t="n">
        <v>45962</v>
      </c>
      <c r="D1969" t="inlineStr">
        <is>
          <t>SKÅNE LÄN</t>
        </is>
      </c>
      <c r="E1969" t="inlineStr">
        <is>
          <t>OSBY</t>
        </is>
      </c>
      <c r="G1969" t="n">
        <v>4.1</v>
      </c>
      <c r="H1969" t="n">
        <v>0</v>
      </c>
      <c r="I1969" t="n">
        <v>0</v>
      </c>
      <c r="J1969" t="n">
        <v>0</v>
      </c>
      <c r="K1969" t="n">
        <v>0</v>
      </c>
      <c r="L1969" t="n">
        <v>0</v>
      </c>
      <c r="M1969" t="n">
        <v>0</v>
      </c>
      <c r="N1969" t="n">
        <v>0</v>
      </c>
      <c r="O1969" t="n">
        <v>0</v>
      </c>
      <c r="P1969" t="n">
        <v>0</v>
      </c>
      <c r="Q1969" t="n">
        <v>0</v>
      </c>
      <c r="R1969" s="2" t="inlineStr"/>
    </row>
    <row r="1970" ht="15" customHeight="1">
      <c r="A1970" t="inlineStr">
        <is>
          <t>A 46777-2024</t>
        </is>
      </c>
      <c r="B1970" s="1" t="n">
        <v>45583</v>
      </c>
      <c r="C1970" s="1" t="n">
        <v>45962</v>
      </c>
      <c r="D1970" t="inlineStr">
        <is>
          <t>SKÅNE LÄN</t>
        </is>
      </c>
      <c r="E1970" t="inlineStr">
        <is>
          <t>HÖÖR</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42916-2024</t>
        </is>
      </c>
      <c r="B1971" s="1" t="n">
        <v>45566</v>
      </c>
      <c r="C1971" s="1" t="n">
        <v>45962</v>
      </c>
      <c r="D1971" t="inlineStr">
        <is>
          <t>SKÅNE LÄN</t>
        </is>
      </c>
      <c r="E1971" t="inlineStr">
        <is>
          <t>KRISTIANSTAD</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48046-2023</t>
        </is>
      </c>
      <c r="B1972" s="1" t="n">
        <v>45204.85201388889</v>
      </c>
      <c r="C1972" s="1" t="n">
        <v>45962</v>
      </c>
      <c r="D1972" t="inlineStr">
        <is>
          <t>SKÅNE LÄN</t>
        </is>
      </c>
      <c r="E1972" t="inlineStr">
        <is>
          <t>HÄSSLEHOLM</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26641-2023</t>
        </is>
      </c>
      <c r="B1973" s="1" t="n">
        <v>45092.89619212963</v>
      </c>
      <c r="C1973" s="1" t="n">
        <v>45962</v>
      </c>
      <c r="D1973" t="inlineStr">
        <is>
          <t>SKÅNE LÄN</t>
        </is>
      </c>
      <c r="E1973" t="inlineStr">
        <is>
          <t>HÄSSLEHOLM</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9006-2024</t>
        </is>
      </c>
      <c r="B1974" s="1" t="n">
        <v>45357</v>
      </c>
      <c r="C1974" s="1" t="n">
        <v>45962</v>
      </c>
      <c r="D1974" t="inlineStr">
        <is>
          <t>SKÅNE LÄN</t>
        </is>
      </c>
      <c r="E1974" t="inlineStr">
        <is>
          <t>BROMÖLLA</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9020-2024</t>
        </is>
      </c>
      <c r="B1975" s="1" t="n">
        <v>45357.59486111111</v>
      </c>
      <c r="C1975" s="1" t="n">
        <v>45962</v>
      </c>
      <c r="D1975" t="inlineStr">
        <is>
          <t>SKÅNE LÄN</t>
        </is>
      </c>
      <c r="E1975" t="inlineStr">
        <is>
          <t>KRISTIANSTAD</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6241-2024</t>
        </is>
      </c>
      <c r="B1976" s="1" t="n">
        <v>45337</v>
      </c>
      <c r="C1976" s="1" t="n">
        <v>45962</v>
      </c>
      <c r="D1976" t="inlineStr">
        <is>
          <t>SKÅNE LÄN</t>
        </is>
      </c>
      <c r="E1976" t="inlineStr">
        <is>
          <t>KRISTIANSTAD</t>
        </is>
      </c>
      <c r="F1976" t="inlineStr">
        <is>
          <t>Övriga Aktiebolag</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6327-2021</t>
        </is>
      </c>
      <c r="B1977" s="1" t="n">
        <v>44235</v>
      </c>
      <c r="C1977" s="1" t="n">
        <v>45962</v>
      </c>
      <c r="D1977" t="inlineStr">
        <is>
          <t>SKÅNE LÄN</t>
        </is>
      </c>
      <c r="E1977" t="inlineStr">
        <is>
          <t>HÄSSLEHOLM</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4232-2025</t>
        </is>
      </c>
      <c r="B1978" s="1" t="n">
        <v>45685.55271990741</v>
      </c>
      <c r="C1978" s="1" t="n">
        <v>45962</v>
      </c>
      <c r="D1978" t="inlineStr">
        <is>
          <t>SKÅNE LÄN</t>
        </is>
      </c>
      <c r="E1978" t="inlineStr">
        <is>
          <t>OSBY</t>
        </is>
      </c>
      <c r="F1978" t="inlineStr">
        <is>
          <t>Sveaskog</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40328-2021</t>
        </is>
      </c>
      <c r="B1979" s="1" t="n">
        <v>44419</v>
      </c>
      <c r="C1979" s="1" t="n">
        <v>45962</v>
      </c>
      <c r="D1979" t="inlineStr">
        <is>
          <t>SKÅNE LÄN</t>
        </is>
      </c>
      <c r="E1979" t="inlineStr">
        <is>
          <t>KRISTIANSTAD</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54284-2023</t>
        </is>
      </c>
      <c r="B1980" s="1" t="n">
        <v>45232</v>
      </c>
      <c r="C1980" s="1" t="n">
        <v>45962</v>
      </c>
      <c r="D1980" t="inlineStr">
        <is>
          <t>SKÅNE LÄN</t>
        </is>
      </c>
      <c r="E1980" t="inlineStr">
        <is>
          <t>SVEDALA</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31165-2024</t>
        </is>
      </c>
      <c r="B1981" s="1" t="n">
        <v>45503</v>
      </c>
      <c r="C1981" s="1" t="n">
        <v>45962</v>
      </c>
      <c r="D1981" t="inlineStr">
        <is>
          <t>SKÅNE LÄN</t>
        </is>
      </c>
      <c r="E1981" t="inlineStr">
        <is>
          <t>KRISTIANSTAD</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57749-2023</t>
        </is>
      </c>
      <c r="B1982" s="1" t="n">
        <v>45246</v>
      </c>
      <c r="C1982" s="1" t="n">
        <v>45962</v>
      </c>
      <c r="D1982" t="inlineStr">
        <is>
          <t>SKÅNE LÄN</t>
        </is>
      </c>
      <c r="E1982" t="inlineStr">
        <is>
          <t>HÄSSLEHOLM</t>
        </is>
      </c>
      <c r="G1982" t="n">
        <v>2.7</v>
      </c>
      <c r="H1982" t="n">
        <v>0</v>
      </c>
      <c r="I1982" t="n">
        <v>0</v>
      </c>
      <c r="J1982" t="n">
        <v>0</v>
      </c>
      <c r="K1982" t="n">
        <v>0</v>
      </c>
      <c r="L1982" t="n">
        <v>0</v>
      </c>
      <c r="M1982" t="n">
        <v>0</v>
      </c>
      <c r="N1982" t="n">
        <v>0</v>
      </c>
      <c r="O1982" t="n">
        <v>0</v>
      </c>
      <c r="P1982" t="n">
        <v>0</v>
      </c>
      <c r="Q1982" t="n">
        <v>0</v>
      </c>
      <c r="R1982" s="2" t="inlineStr"/>
    </row>
    <row r="1983" ht="15" customHeight="1">
      <c r="A1983" t="inlineStr">
        <is>
          <t>A 3398-2024</t>
        </is>
      </c>
      <c r="B1983" s="1" t="n">
        <v>45318</v>
      </c>
      <c r="C1983" s="1" t="n">
        <v>45962</v>
      </c>
      <c r="D1983" t="inlineStr">
        <is>
          <t>SKÅNE LÄN</t>
        </is>
      </c>
      <c r="E1983" t="inlineStr">
        <is>
          <t>SIMRISHAMN</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46702-2024</t>
        </is>
      </c>
      <c r="B1984" s="1" t="n">
        <v>45583</v>
      </c>
      <c r="C1984" s="1" t="n">
        <v>45962</v>
      </c>
      <c r="D1984" t="inlineStr">
        <is>
          <t>SKÅNE LÄN</t>
        </is>
      </c>
      <c r="E1984" t="inlineStr">
        <is>
          <t>ÄNGELHOLM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43395-2024</t>
        </is>
      </c>
      <c r="B1985" s="1" t="n">
        <v>45568</v>
      </c>
      <c r="C1985" s="1" t="n">
        <v>45962</v>
      </c>
      <c r="D1985" t="inlineStr">
        <is>
          <t>SKÅNE LÄN</t>
        </is>
      </c>
      <c r="E1985" t="inlineStr">
        <is>
          <t>ÖSTRA GÖINGE</t>
        </is>
      </c>
      <c r="G1985" t="n">
        <v>4.9</v>
      </c>
      <c r="H1985" t="n">
        <v>0</v>
      </c>
      <c r="I1985" t="n">
        <v>0</v>
      </c>
      <c r="J1985" t="n">
        <v>0</v>
      </c>
      <c r="K1985" t="n">
        <v>0</v>
      </c>
      <c r="L1985" t="n">
        <v>0</v>
      </c>
      <c r="M1985" t="n">
        <v>0</v>
      </c>
      <c r="N1985" t="n">
        <v>0</v>
      </c>
      <c r="O1985" t="n">
        <v>0</v>
      </c>
      <c r="P1985" t="n">
        <v>0</v>
      </c>
      <c r="Q1985" t="n">
        <v>0</v>
      </c>
      <c r="R1985" s="2" t="inlineStr"/>
    </row>
    <row r="1986" ht="15" customHeight="1">
      <c r="A1986" t="inlineStr">
        <is>
          <t>A 18090-2022</t>
        </is>
      </c>
      <c r="B1986" s="1" t="n">
        <v>44684</v>
      </c>
      <c r="C1986" s="1" t="n">
        <v>45962</v>
      </c>
      <c r="D1986" t="inlineStr">
        <is>
          <t>SKÅNE LÄN</t>
        </is>
      </c>
      <c r="E1986" t="inlineStr">
        <is>
          <t>YSTAD</t>
        </is>
      </c>
      <c r="G1986" t="n">
        <v>4.9</v>
      </c>
      <c r="H1986" t="n">
        <v>0</v>
      </c>
      <c r="I1986" t="n">
        <v>0</v>
      </c>
      <c r="J1986" t="n">
        <v>0</v>
      </c>
      <c r="K1986" t="n">
        <v>0</v>
      </c>
      <c r="L1986" t="n">
        <v>0</v>
      </c>
      <c r="M1986" t="n">
        <v>0</v>
      </c>
      <c r="N1986" t="n">
        <v>0</v>
      </c>
      <c r="O1986" t="n">
        <v>0</v>
      </c>
      <c r="P1986" t="n">
        <v>0</v>
      </c>
      <c r="Q1986" t="n">
        <v>0</v>
      </c>
      <c r="R1986" s="2" t="inlineStr"/>
    </row>
    <row r="1987" ht="15" customHeight="1">
      <c r="A1987" t="inlineStr">
        <is>
          <t>A 18118-2022</t>
        </is>
      </c>
      <c r="B1987" s="1" t="n">
        <v>44684</v>
      </c>
      <c r="C1987" s="1" t="n">
        <v>45962</v>
      </c>
      <c r="D1987" t="inlineStr">
        <is>
          <t>SKÅNE LÄN</t>
        </is>
      </c>
      <c r="E1987" t="inlineStr">
        <is>
          <t>BJUV</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47235-2024</t>
        </is>
      </c>
      <c r="B1988" s="1" t="n">
        <v>45586</v>
      </c>
      <c r="C1988" s="1" t="n">
        <v>45962</v>
      </c>
      <c r="D1988" t="inlineStr">
        <is>
          <t>SKÅNE LÄN</t>
        </is>
      </c>
      <c r="E1988" t="inlineStr">
        <is>
          <t>KRISTIANSTAD</t>
        </is>
      </c>
      <c r="F1988" t="inlineStr">
        <is>
          <t>Övriga Aktiebolag</t>
        </is>
      </c>
      <c r="G1988" t="n">
        <v>6.2</v>
      </c>
      <c r="H1988" t="n">
        <v>0</v>
      </c>
      <c r="I1988" t="n">
        <v>0</v>
      </c>
      <c r="J1988" t="n">
        <v>0</v>
      </c>
      <c r="K1988" t="n">
        <v>0</v>
      </c>
      <c r="L1988" t="n">
        <v>0</v>
      </c>
      <c r="M1988" t="n">
        <v>0</v>
      </c>
      <c r="N1988" t="n">
        <v>0</v>
      </c>
      <c r="O1988" t="n">
        <v>0</v>
      </c>
      <c r="P1988" t="n">
        <v>0</v>
      </c>
      <c r="Q1988" t="n">
        <v>0</v>
      </c>
      <c r="R1988" s="2" t="inlineStr"/>
    </row>
    <row r="1989" ht="15" customHeight="1">
      <c r="A1989" t="inlineStr">
        <is>
          <t>A 12663-2022</t>
        </is>
      </c>
      <c r="B1989" s="1" t="n">
        <v>44641.53417824074</v>
      </c>
      <c r="C1989" s="1" t="n">
        <v>45962</v>
      </c>
      <c r="D1989" t="inlineStr">
        <is>
          <t>SKÅNE LÄN</t>
        </is>
      </c>
      <c r="E1989" t="inlineStr">
        <is>
          <t>TOMELILLA</t>
        </is>
      </c>
      <c r="F1989" t="inlineStr">
        <is>
          <t>Övriga Aktiebolag</t>
        </is>
      </c>
      <c r="G1989" t="n">
        <v>12.4</v>
      </c>
      <c r="H1989" t="n">
        <v>0</v>
      </c>
      <c r="I1989" t="n">
        <v>0</v>
      </c>
      <c r="J1989" t="n">
        <v>0</v>
      </c>
      <c r="K1989" t="n">
        <v>0</v>
      </c>
      <c r="L1989" t="n">
        <v>0</v>
      </c>
      <c r="M1989" t="n">
        <v>0</v>
      </c>
      <c r="N1989" t="n">
        <v>0</v>
      </c>
      <c r="O1989" t="n">
        <v>0</v>
      </c>
      <c r="P1989" t="n">
        <v>0</v>
      </c>
      <c r="Q1989" t="n">
        <v>0</v>
      </c>
      <c r="R1989" s="2" t="inlineStr"/>
    </row>
    <row r="1990" ht="15" customHeight="1">
      <c r="A1990" t="inlineStr">
        <is>
          <t>A 1538-2024</t>
        </is>
      </c>
      <c r="B1990" s="1" t="n">
        <v>45306</v>
      </c>
      <c r="C1990" s="1" t="n">
        <v>45962</v>
      </c>
      <c r="D1990" t="inlineStr">
        <is>
          <t>SKÅNE LÄN</t>
        </is>
      </c>
      <c r="E1990" t="inlineStr">
        <is>
          <t>HÄSSLEHOLM</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14000-2025</t>
        </is>
      </c>
      <c r="B1991" s="1" t="n">
        <v>45740.26850694444</v>
      </c>
      <c r="C1991" s="1" t="n">
        <v>45962</v>
      </c>
      <c r="D1991" t="inlineStr">
        <is>
          <t>SKÅNE LÄN</t>
        </is>
      </c>
      <c r="E1991" t="inlineStr">
        <is>
          <t>SIMRISHAMN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9018-2024</t>
        </is>
      </c>
      <c r="B1992" s="1" t="n">
        <v>45357</v>
      </c>
      <c r="C1992" s="1" t="n">
        <v>45962</v>
      </c>
      <c r="D1992" t="inlineStr">
        <is>
          <t>SKÅNE LÄN</t>
        </is>
      </c>
      <c r="E1992" t="inlineStr">
        <is>
          <t>KRISTIANSTAD</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4710-2025</t>
        </is>
      </c>
      <c r="B1993" s="1" t="n">
        <v>45688</v>
      </c>
      <c r="C1993" s="1" t="n">
        <v>45962</v>
      </c>
      <c r="D1993" t="inlineStr">
        <is>
          <t>SKÅNE LÄN</t>
        </is>
      </c>
      <c r="E1993" t="inlineStr">
        <is>
          <t>OSBY</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4756-2025</t>
        </is>
      </c>
      <c r="B1994" s="1" t="n">
        <v>45688.4693287037</v>
      </c>
      <c r="C1994" s="1" t="n">
        <v>45962</v>
      </c>
      <c r="D1994" t="inlineStr">
        <is>
          <t>SKÅNE LÄN</t>
        </is>
      </c>
      <c r="E1994" t="inlineStr">
        <is>
          <t>HÖRBY</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55291-2023</t>
        </is>
      </c>
      <c r="B1995" s="1" t="n">
        <v>45237</v>
      </c>
      <c r="C1995" s="1" t="n">
        <v>45962</v>
      </c>
      <c r="D1995" t="inlineStr">
        <is>
          <t>SKÅNE LÄN</t>
        </is>
      </c>
      <c r="E1995" t="inlineStr">
        <is>
          <t>KLIPPAN</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55294-2023</t>
        </is>
      </c>
      <c r="B1996" s="1" t="n">
        <v>45237.79225694444</v>
      </c>
      <c r="C1996" s="1" t="n">
        <v>45962</v>
      </c>
      <c r="D1996" t="inlineStr">
        <is>
          <t>SKÅNE LÄN</t>
        </is>
      </c>
      <c r="E1996" t="inlineStr">
        <is>
          <t>OSBY</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40037-2022</t>
        </is>
      </c>
      <c r="B1997" s="1" t="n">
        <v>44818</v>
      </c>
      <c r="C1997" s="1" t="n">
        <v>45962</v>
      </c>
      <c r="D1997" t="inlineStr">
        <is>
          <t>SKÅNE LÄN</t>
        </is>
      </c>
      <c r="E1997" t="inlineStr">
        <is>
          <t>KRISTIANSTAD</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35290-2021</t>
        </is>
      </c>
      <c r="B1998" s="1" t="n">
        <v>44384.66334490741</v>
      </c>
      <c r="C1998" s="1" t="n">
        <v>45962</v>
      </c>
      <c r="D1998" t="inlineStr">
        <is>
          <t>SKÅNE LÄN</t>
        </is>
      </c>
      <c r="E1998" t="inlineStr">
        <is>
          <t>OSBY</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12150-2024</t>
        </is>
      </c>
      <c r="B1999" s="1" t="n">
        <v>45377</v>
      </c>
      <c r="C1999" s="1" t="n">
        <v>45962</v>
      </c>
      <c r="D1999" t="inlineStr">
        <is>
          <t>SKÅNE LÄN</t>
        </is>
      </c>
      <c r="E1999" t="inlineStr">
        <is>
          <t>ÄNGELHOLM</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50356-2023</t>
        </is>
      </c>
      <c r="B2000" s="1" t="n">
        <v>45209</v>
      </c>
      <c r="C2000" s="1" t="n">
        <v>45962</v>
      </c>
      <c r="D2000" t="inlineStr">
        <is>
          <t>SKÅNE LÄN</t>
        </is>
      </c>
      <c r="E2000" t="inlineStr">
        <is>
          <t>ÖSTRA GÖINGE</t>
        </is>
      </c>
      <c r="G2000" t="n">
        <v>6.4</v>
      </c>
      <c r="H2000" t="n">
        <v>0</v>
      </c>
      <c r="I2000" t="n">
        <v>0</v>
      </c>
      <c r="J2000" t="n">
        <v>0</v>
      </c>
      <c r="K2000" t="n">
        <v>0</v>
      </c>
      <c r="L2000" t="n">
        <v>0</v>
      </c>
      <c r="M2000" t="n">
        <v>0</v>
      </c>
      <c r="N2000" t="n">
        <v>0</v>
      </c>
      <c r="O2000" t="n">
        <v>0</v>
      </c>
      <c r="P2000" t="n">
        <v>0</v>
      </c>
      <c r="Q2000" t="n">
        <v>0</v>
      </c>
      <c r="R2000" s="2" t="inlineStr"/>
    </row>
    <row r="2001" ht="15" customHeight="1">
      <c r="A2001" t="inlineStr">
        <is>
          <t>A 5594-2025</t>
        </is>
      </c>
      <c r="B2001" s="1" t="n">
        <v>45693.56855324074</v>
      </c>
      <c r="C2001" s="1" t="n">
        <v>45962</v>
      </c>
      <c r="D2001" t="inlineStr">
        <is>
          <t>SKÅNE LÄN</t>
        </is>
      </c>
      <c r="E2001" t="inlineStr">
        <is>
          <t>KRISTIANSTAD</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51632-2024</t>
        </is>
      </c>
      <c r="B2002" s="1" t="n">
        <v>45605.56743055556</v>
      </c>
      <c r="C2002" s="1" t="n">
        <v>45962</v>
      </c>
      <c r="D2002" t="inlineStr">
        <is>
          <t>SKÅNE LÄN</t>
        </is>
      </c>
      <c r="E2002" t="inlineStr">
        <is>
          <t>OSBY</t>
        </is>
      </c>
      <c r="G2002" t="n">
        <v>3</v>
      </c>
      <c r="H2002" t="n">
        <v>0</v>
      </c>
      <c r="I2002" t="n">
        <v>0</v>
      </c>
      <c r="J2002" t="n">
        <v>0</v>
      </c>
      <c r="K2002" t="n">
        <v>0</v>
      </c>
      <c r="L2002" t="n">
        <v>0</v>
      </c>
      <c r="M2002" t="n">
        <v>0</v>
      </c>
      <c r="N2002" t="n">
        <v>0</v>
      </c>
      <c r="O2002" t="n">
        <v>0</v>
      </c>
      <c r="P2002" t="n">
        <v>0</v>
      </c>
      <c r="Q2002" t="n">
        <v>0</v>
      </c>
      <c r="R2002" s="2" t="inlineStr"/>
    </row>
    <row r="2003" ht="15" customHeight="1">
      <c r="A2003" t="inlineStr">
        <is>
          <t>A 51633-2024</t>
        </is>
      </c>
      <c r="B2003" s="1" t="n">
        <v>45605.57515046297</v>
      </c>
      <c r="C2003" s="1" t="n">
        <v>45962</v>
      </c>
      <c r="D2003" t="inlineStr">
        <is>
          <t>SKÅNE LÄN</t>
        </is>
      </c>
      <c r="E2003" t="inlineStr">
        <is>
          <t>OSBY</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3135-2023</t>
        </is>
      </c>
      <c r="B2004" s="1" t="n">
        <v>44946.51672453704</v>
      </c>
      <c r="C2004" s="1" t="n">
        <v>45962</v>
      </c>
      <c r="D2004" t="inlineStr">
        <is>
          <t>SKÅNE LÄN</t>
        </is>
      </c>
      <c r="E2004" t="inlineStr">
        <is>
          <t>HÄSSLEHOLM</t>
        </is>
      </c>
      <c r="G2004" t="n">
        <v>7.2</v>
      </c>
      <c r="H2004" t="n">
        <v>0</v>
      </c>
      <c r="I2004" t="n">
        <v>0</v>
      </c>
      <c r="J2004" t="n">
        <v>0</v>
      </c>
      <c r="K2004" t="n">
        <v>0</v>
      </c>
      <c r="L2004" t="n">
        <v>0</v>
      </c>
      <c r="M2004" t="n">
        <v>0</v>
      </c>
      <c r="N2004" t="n">
        <v>0</v>
      </c>
      <c r="O2004" t="n">
        <v>0</v>
      </c>
      <c r="P2004" t="n">
        <v>0</v>
      </c>
      <c r="Q2004" t="n">
        <v>0</v>
      </c>
      <c r="R2004" s="2" t="inlineStr"/>
    </row>
    <row r="2005" ht="15" customHeight="1">
      <c r="A2005" t="inlineStr">
        <is>
          <t>A 3157-2023</t>
        </is>
      </c>
      <c r="B2005" s="1" t="n">
        <v>44946.56505787037</v>
      </c>
      <c r="C2005" s="1" t="n">
        <v>45962</v>
      </c>
      <c r="D2005" t="inlineStr">
        <is>
          <t>SKÅNE LÄN</t>
        </is>
      </c>
      <c r="E2005" t="inlineStr">
        <is>
          <t>ÖSTRA GÖINGE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15055-2023</t>
        </is>
      </c>
      <c r="B2006" s="1" t="n">
        <v>45015</v>
      </c>
      <c r="C2006" s="1" t="n">
        <v>45962</v>
      </c>
      <c r="D2006" t="inlineStr">
        <is>
          <t>SKÅNE LÄN</t>
        </is>
      </c>
      <c r="E2006" t="inlineStr">
        <is>
          <t>HÄSSLEHOLM</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48262-2021</t>
        </is>
      </c>
      <c r="B2007" s="1" t="n">
        <v>44449.66324074074</v>
      </c>
      <c r="C2007" s="1" t="n">
        <v>45962</v>
      </c>
      <c r="D2007" t="inlineStr">
        <is>
          <t>SKÅNE LÄN</t>
        </is>
      </c>
      <c r="E2007" t="inlineStr">
        <is>
          <t>SVALÖV</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35642-2023</t>
        </is>
      </c>
      <c r="B2008" s="1" t="n">
        <v>45147</v>
      </c>
      <c r="C2008" s="1" t="n">
        <v>45962</v>
      </c>
      <c r="D2008" t="inlineStr">
        <is>
          <t>SKÅNE LÄN</t>
        </is>
      </c>
      <c r="E2008" t="inlineStr">
        <is>
          <t>HELSINGBORG</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995-2025</t>
        </is>
      </c>
      <c r="B2009" s="1" t="n">
        <v>45666.45462962963</v>
      </c>
      <c r="C2009" s="1" t="n">
        <v>45962</v>
      </c>
      <c r="D2009" t="inlineStr">
        <is>
          <t>SKÅNE LÄN</t>
        </is>
      </c>
      <c r="E2009" t="inlineStr">
        <is>
          <t>TOMELILLA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67456-2021</t>
        </is>
      </c>
      <c r="B2010" s="1" t="n">
        <v>44524</v>
      </c>
      <c r="C2010" s="1" t="n">
        <v>45962</v>
      </c>
      <c r="D2010" t="inlineStr">
        <is>
          <t>SKÅNE LÄN</t>
        </is>
      </c>
      <c r="E2010" t="inlineStr">
        <is>
          <t>SVEDALA</t>
        </is>
      </c>
      <c r="G2010" t="n">
        <v>8.1</v>
      </c>
      <c r="H2010" t="n">
        <v>0</v>
      </c>
      <c r="I2010" t="n">
        <v>0</v>
      </c>
      <c r="J2010" t="n">
        <v>0</v>
      </c>
      <c r="K2010" t="n">
        <v>0</v>
      </c>
      <c r="L2010" t="n">
        <v>0</v>
      </c>
      <c r="M2010" t="n">
        <v>0</v>
      </c>
      <c r="N2010" t="n">
        <v>0</v>
      </c>
      <c r="O2010" t="n">
        <v>0</v>
      </c>
      <c r="P2010" t="n">
        <v>0</v>
      </c>
      <c r="Q2010" t="n">
        <v>0</v>
      </c>
      <c r="R2010" s="2" t="inlineStr"/>
    </row>
    <row r="2011" ht="15" customHeight="1">
      <c r="A2011" t="inlineStr">
        <is>
          <t>A 31115-2024</t>
        </is>
      </c>
      <c r="B2011" s="1" t="n">
        <v>45502</v>
      </c>
      <c r="C2011" s="1" t="n">
        <v>45962</v>
      </c>
      <c r="D2011" t="inlineStr">
        <is>
          <t>SKÅNE LÄN</t>
        </is>
      </c>
      <c r="E2011" t="inlineStr">
        <is>
          <t>HÖRBY</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42748-2022</t>
        </is>
      </c>
      <c r="B2012" s="1" t="n">
        <v>44831</v>
      </c>
      <c r="C2012" s="1" t="n">
        <v>45962</v>
      </c>
      <c r="D2012" t="inlineStr">
        <is>
          <t>SKÅNE LÄN</t>
        </is>
      </c>
      <c r="E2012" t="inlineStr">
        <is>
          <t>BROMÖLLA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16397-2022</t>
        </is>
      </c>
      <c r="B2013" s="1" t="n">
        <v>44671</v>
      </c>
      <c r="C2013" s="1" t="n">
        <v>45962</v>
      </c>
      <c r="D2013" t="inlineStr">
        <is>
          <t>SKÅNE LÄN</t>
        </is>
      </c>
      <c r="E2013" t="inlineStr">
        <is>
          <t>HÄSSLEHOLM</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16398-2022</t>
        </is>
      </c>
      <c r="B2014" s="1" t="n">
        <v>44671</v>
      </c>
      <c r="C2014" s="1" t="n">
        <v>45962</v>
      </c>
      <c r="D2014" t="inlineStr">
        <is>
          <t>SKÅNE LÄN</t>
        </is>
      </c>
      <c r="E2014" t="inlineStr">
        <is>
          <t>HÄSSLEHOLM</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14104-2024</t>
        </is>
      </c>
      <c r="B2015" s="1" t="n">
        <v>45392.61707175926</v>
      </c>
      <c r="C2015" s="1" t="n">
        <v>45962</v>
      </c>
      <c r="D2015" t="inlineStr">
        <is>
          <t>SKÅNE LÄN</t>
        </is>
      </c>
      <c r="E2015" t="inlineStr">
        <is>
          <t>SIMRISHAMN</t>
        </is>
      </c>
      <c r="G2015" t="n">
        <v>5.3</v>
      </c>
      <c r="H2015" t="n">
        <v>0</v>
      </c>
      <c r="I2015" t="n">
        <v>0</v>
      </c>
      <c r="J2015" t="n">
        <v>0</v>
      </c>
      <c r="K2015" t="n">
        <v>0</v>
      </c>
      <c r="L2015" t="n">
        <v>0</v>
      </c>
      <c r="M2015" t="n">
        <v>0</v>
      </c>
      <c r="N2015" t="n">
        <v>0</v>
      </c>
      <c r="O2015" t="n">
        <v>0</v>
      </c>
      <c r="P2015" t="n">
        <v>0</v>
      </c>
      <c r="Q2015" t="n">
        <v>0</v>
      </c>
      <c r="R2015" s="2" t="inlineStr"/>
    </row>
    <row r="2016" ht="15" customHeight="1">
      <c r="A2016" t="inlineStr">
        <is>
          <t>A 14106-2024</t>
        </is>
      </c>
      <c r="B2016" s="1" t="n">
        <v>45392</v>
      </c>
      <c r="C2016" s="1" t="n">
        <v>45962</v>
      </c>
      <c r="D2016" t="inlineStr">
        <is>
          <t>SKÅNE LÄN</t>
        </is>
      </c>
      <c r="E2016" t="inlineStr">
        <is>
          <t>SIMRISHAMN</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25765-2024</t>
        </is>
      </c>
      <c r="B2017" s="1" t="n">
        <v>45465.78322916666</v>
      </c>
      <c r="C2017" s="1" t="n">
        <v>45962</v>
      </c>
      <c r="D2017" t="inlineStr">
        <is>
          <t>SKÅNE LÄN</t>
        </is>
      </c>
      <c r="E2017" t="inlineStr">
        <is>
          <t>KRISTIANSTAD</t>
        </is>
      </c>
      <c r="G2017" t="n">
        <v>16.6</v>
      </c>
      <c r="H2017" t="n">
        <v>0</v>
      </c>
      <c r="I2017" t="n">
        <v>0</v>
      </c>
      <c r="J2017" t="n">
        <v>0</v>
      </c>
      <c r="K2017" t="n">
        <v>0</v>
      </c>
      <c r="L2017" t="n">
        <v>0</v>
      </c>
      <c r="M2017" t="n">
        <v>0</v>
      </c>
      <c r="N2017" t="n">
        <v>0</v>
      </c>
      <c r="O2017" t="n">
        <v>0</v>
      </c>
      <c r="P2017" t="n">
        <v>0</v>
      </c>
      <c r="Q2017" t="n">
        <v>0</v>
      </c>
      <c r="R2017" s="2" t="inlineStr"/>
    </row>
    <row r="2018" ht="15" customHeight="1">
      <c r="A2018" t="inlineStr">
        <is>
          <t>A 25767-2024</t>
        </is>
      </c>
      <c r="B2018" s="1" t="n">
        <v>45465.79103009259</v>
      </c>
      <c r="C2018" s="1" t="n">
        <v>45962</v>
      </c>
      <c r="D2018" t="inlineStr">
        <is>
          <t>SKÅNE LÄN</t>
        </is>
      </c>
      <c r="E2018" t="inlineStr">
        <is>
          <t>KRISTIANSTAD</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25508-2023</t>
        </is>
      </c>
      <c r="B2019" s="1" t="n">
        <v>45089</v>
      </c>
      <c r="C2019" s="1" t="n">
        <v>45962</v>
      </c>
      <c r="D2019" t="inlineStr">
        <is>
          <t>SKÅNE LÄN</t>
        </is>
      </c>
      <c r="E2019" t="inlineStr">
        <is>
          <t>ESLÖV</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9651-2024</t>
        </is>
      </c>
      <c r="B2020" s="1" t="n">
        <v>45360</v>
      </c>
      <c r="C2020" s="1" t="n">
        <v>45962</v>
      </c>
      <c r="D2020" t="inlineStr">
        <is>
          <t>SKÅNE LÄN</t>
        </is>
      </c>
      <c r="E2020" t="inlineStr">
        <is>
          <t>OSBY</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54305-2021</t>
        </is>
      </c>
      <c r="B2021" s="1" t="n">
        <v>44472.45936342593</v>
      </c>
      <c r="C2021" s="1" t="n">
        <v>45962</v>
      </c>
      <c r="D2021" t="inlineStr">
        <is>
          <t>SKÅNE LÄN</t>
        </is>
      </c>
      <c r="E2021" t="inlineStr">
        <is>
          <t>PERSTORP</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39622-2023</t>
        </is>
      </c>
      <c r="B2022" s="1" t="n">
        <v>45163</v>
      </c>
      <c r="C2022" s="1" t="n">
        <v>45962</v>
      </c>
      <c r="D2022" t="inlineStr">
        <is>
          <t>SKÅNE LÄN</t>
        </is>
      </c>
      <c r="E2022" t="inlineStr">
        <is>
          <t>ÖRKELLJUNGA</t>
        </is>
      </c>
      <c r="G2022" t="n">
        <v>10.7</v>
      </c>
      <c r="H2022" t="n">
        <v>0</v>
      </c>
      <c r="I2022" t="n">
        <v>0</v>
      </c>
      <c r="J2022" t="n">
        <v>0</v>
      </c>
      <c r="K2022" t="n">
        <v>0</v>
      </c>
      <c r="L2022" t="n">
        <v>0</v>
      </c>
      <c r="M2022" t="n">
        <v>0</v>
      </c>
      <c r="N2022" t="n">
        <v>0</v>
      </c>
      <c r="O2022" t="n">
        <v>0</v>
      </c>
      <c r="P2022" t="n">
        <v>0</v>
      </c>
      <c r="Q2022" t="n">
        <v>0</v>
      </c>
      <c r="R2022" s="2" t="inlineStr"/>
    </row>
    <row r="2023" ht="15" customHeight="1">
      <c r="A2023" t="inlineStr">
        <is>
          <t>A 42281-2024</t>
        </is>
      </c>
      <c r="B2023" s="1" t="n">
        <v>45562.6105787037</v>
      </c>
      <c r="C2023" s="1" t="n">
        <v>45962</v>
      </c>
      <c r="D2023" t="inlineStr">
        <is>
          <t>SKÅNE LÄN</t>
        </is>
      </c>
      <c r="E2023" t="inlineStr">
        <is>
          <t>KLIPPAN</t>
        </is>
      </c>
      <c r="F2023" t="inlineStr">
        <is>
          <t>Sveaskog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42284-2024</t>
        </is>
      </c>
      <c r="B2024" s="1" t="n">
        <v>45562</v>
      </c>
      <c r="C2024" s="1" t="n">
        <v>45962</v>
      </c>
      <c r="D2024" t="inlineStr">
        <is>
          <t>SKÅNE LÄN</t>
        </is>
      </c>
      <c r="E2024" t="inlineStr">
        <is>
          <t>KLIPPAN</t>
        </is>
      </c>
      <c r="F2024" t="inlineStr">
        <is>
          <t>Sveaskog</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44739-2024</t>
        </is>
      </c>
      <c r="B2025" s="1" t="n">
        <v>45574.59447916667</v>
      </c>
      <c r="C2025" s="1" t="n">
        <v>45962</v>
      </c>
      <c r="D2025" t="inlineStr">
        <is>
          <t>SKÅNE LÄN</t>
        </is>
      </c>
      <c r="E2025" t="inlineStr">
        <is>
          <t>HÖÖR</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52051-2022</t>
        </is>
      </c>
      <c r="B2026" s="1" t="n">
        <v>44873.32849537037</v>
      </c>
      <c r="C2026" s="1" t="n">
        <v>45962</v>
      </c>
      <c r="D2026" t="inlineStr">
        <is>
          <t>SKÅNE LÄN</t>
        </is>
      </c>
      <c r="E2026" t="inlineStr">
        <is>
          <t>ÖSTRA GÖINGE</t>
        </is>
      </c>
      <c r="G2026" t="n">
        <v>5</v>
      </c>
      <c r="H2026" t="n">
        <v>0</v>
      </c>
      <c r="I2026" t="n">
        <v>0</v>
      </c>
      <c r="J2026" t="n">
        <v>0</v>
      </c>
      <c r="K2026" t="n">
        <v>0</v>
      </c>
      <c r="L2026" t="n">
        <v>0</v>
      </c>
      <c r="M2026" t="n">
        <v>0</v>
      </c>
      <c r="N2026" t="n">
        <v>0</v>
      </c>
      <c r="O2026" t="n">
        <v>0</v>
      </c>
      <c r="P2026" t="n">
        <v>0</v>
      </c>
      <c r="Q2026" t="n">
        <v>0</v>
      </c>
      <c r="R2026" s="2" t="inlineStr"/>
    </row>
    <row r="2027" ht="15" customHeight="1">
      <c r="A2027" t="inlineStr">
        <is>
          <t>A 44764-2021</t>
        </is>
      </c>
      <c r="B2027" s="1" t="n">
        <v>44438</v>
      </c>
      <c r="C2027" s="1" t="n">
        <v>45962</v>
      </c>
      <c r="D2027" t="inlineStr">
        <is>
          <t>SKÅNE LÄN</t>
        </is>
      </c>
      <c r="E2027" t="inlineStr">
        <is>
          <t>ÖSTRA GÖINGE</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34342-2021</t>
        </is>
      </c>
      <c r="B2028" s="1" t="n">
        <v>44379</v>
      </c>
      <c r="C2028" s="1" t="n">
        <v>45962</v>
      </c>
      <c r="D2028" t="inlineStr">
        <is>
          <t>SKÅNE LÄN</t>
        </is>
      </c>
      <c r="E2028" t="inlineStr">
        <is>
          <t>HÄSSLEHOLM</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34187-2023</t>
        </is>
      </c>
      <c r="B2029" s="1" t="n">
        <v>45138</v>
      </c>
      <c r="C2029" s="1" t="n">
        <v>45962</v>
      </c>
      <c r="D2029" t="inlineStr">
        <is>
          <t>SKÅNE LÄN</t>
        </is>
      </c>
      <c r="E2029" t="inlineStr">
        <is>
          <t>HÄSSLEHOLM</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49622-2023</t>
        </is>
      </c>
      <c r="B2030" s="1" t="n">
        <v>45211</v>
      </c>
      <c r="C2030" s="1" t="n">
        <v>45962</v>
      </c>
      <c r="D2030" t="inlineStr">
        <is>
          <t>SKÅNE LÄN</t>
        </is>
      </c>
      <c r="E2030" t="inlineStr">
        <is>
          <t>OSBY</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3747-2023</t>
        </is>
      </c>
      <c r="B2031" s="1" t="n">
        <v>44949</v>
      </c>
      <c r="C2031" s="1" t="n">
        <v>45962</v>
      </c>
      <c r="D2031" t="inlineStr">
        <is>
          <t>SKÅNE LÄN</t>
        </is>
      </c>
      <c r="E2031" t="inlineStr">
        <is>
          <t>ÖSTRA GÖINGE</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4512-2024</t>
        </is>
      </c>
      <c r="B2032" s="1" t="n">
        <v>45327.6312962963</v>
      </c>
      <c r="C2032" s="1" t="n">
        <v>45962</v>
      </c>
      <c r="D2032" t="inlineStr">
        <is>
          <t>SKÅNE LÄN</t>
        </is>
      </c>
      <c r="E2032" t="inlineStr">
        <is>
          <t>HÄSSLEHOLM</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3402-2024</t>
        </is>
      </c>
      <c r="B2033" s="1" t="n">
        <v>45318</v>
      </c>
      <c r="C2033" s="1" t="n">
        <v>45962</v>
      </c>
      <c r="D2033" t="inlineStr">
        <is>
          <t>SKÅNE LÄN</t>
        </is>
      </c>
      <c r="E2033" t="inlineStr">
        <is>
          <t>SIMRISHAMN</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22792-2024</t>
        </is>
      </c>
      <c r="B2034" s="1" t="n">
        <v>45448.48983796296</v>
      </c>
      <c r="C2034" s="1" t="n">
        <v>45962</v>
      </c>
      <c r="D2034" t="inlineStr">
        <is>
          <t>SKÅNE LÄN</t>
        </is>
      </c>
      <c r="E2034" t="inlineStr">
        <is>
          <t>SVALÖV</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15512-2025</t>
        </is>
      </c>
      <c r="B2035" s="1" t="n">
        <v>45747</v>
      </c>
      <c r="C2035" s="1" t="n">
        <v>45962</v>
      </c>
      <c r="D2035" t="inlineStr">
        <is>
          <t>SKÅNE LÄN</t>
        </is>
      </c>
      <c r="E2035" t="inlineStr">
        <is>
          <t>HÄSSLEHOLM</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3489-2024</t>
        </is>
      </c>
      <c r="B2036" s="1" t="n">
        <v>45320</v>
      </c>
      <c r="C2036" s="1" t="n">
        <v>45962</v>
      </c>
      <c r="D2036" t="inlineStr">
        <is>
          <t>SKÅNE LÄN</t>
        </is>
      </c>
      <c r="E2036" t="inlineStr">
        <is>
          <t>KLIPPAN</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3507-2024</t>
        </is>
      </c>
      <c r="B2037" s="1" t="n">
        <v>45320.4906712963</v>
      </c>
      <c r="C2037" s="1" t="n">
        <v>45962</v>
      </c>
      <c r="D2037" t="inlineStr">
        <is>
          <t>SKÅNE LÄN</t>
        </is>
      </c>
      <c r="E2037" t="inlineStr">
        <is>
          <t>HÄSSLEHOLM</t>
        </is>
      </c>
      <c r="G2037" t="n">
        <v>6.4</v>
      </c>
      <c r="H2037" t="n">
        <v>0</v>
      </c>
      <c r="I2037" t="n">
        <v>0</v>
      </c>
      <c r="J2037" t="n">
        <v>0</v>
      </c>
      <c r="K2037" t="n">
        <v>0</v>
      </c>
      <c r="L2037" t="n">
        <v>0</v>
      </c>
      <c r="M2037" t="n">
        <v>0</v>
      </c>
      <c r="N2037" t="n">
        <v>0</v>
      </c>
      <c r="O2037" t="n">
        <v>0</v>
      </c>
      <c r="P2037" t="n">
        <v>0</v>
      </c>
      <c r="Q2037" t="n">
        <v>0</v>
      </c>
      <c r="R2037" s="2" t="inlineStr"/>
    </row>
    <row r="2038" ht="15" customHeight="1">
      <c r="A2038" t="inlineStr">
        <is>
          <t>A 35875-2023</t>
        </is>
      </c>
      <c r="B2038" s="1" t="n">
        <v>45148.56811342593</v>
      </c>
      <c r="C2038" s="1" t="n">
        <v>45962</v>
      </c>
      <c r="D2038" t="inlineStr">
        <is>
          <t>SKÅNE LÄN</t>
        </is>
      </c>
      <c r="E2038" t="inlineStr">
        <is>
          <t>OSBY</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2548-2024</t>
        </is>
      </c>
      <c r="B2039" s="1" t="n">
        <v>45313</v>
      </c>
      <c r="C2039" s="1" t="n">
        <v>45962</v>
      </c>
      <c r="D2039" t="inlineStr">
        <is>
          <t>SKÅNE LÄN</t>
        </is>
      </c>
      <c r="E2039" t="inlineStr">
        <is>
          <t>TOMELILLA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11500-2024</t>
        </is>
      </c>
      <c r="B2040" s="1" t="n">
        <v>45372</v>
      </c>
      <c r="C2040" s="1" t="n">
        <v>45962</v>
      </c>
      <c r="D2040" t="inlineStr">
        <is>
          <t>SKÅNE LÄN</t>
        </is>
      </c>
      <c r="E2040" t="inlineStr">
        <is>
          <t>SJÖBO</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55469-2024</t>
        </is>
      </c>
      <c r="B2041" s="1" t="n">
        <v>45622.43130787037</v>
      </c>
      <c r="C2041" s="1" t="n">
        <v>45962</v>
      </c>
      <c r="D2041" t="inlineStr">
        <is>
          <t>SKÅNE LÄN</t>
        </is>
      </c>
      <c r="E2041" t="inlineStr">
        <is>
          <t>KRISTIANSTAD</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9840-2022</t>
        </is>
      </c>
      <c r="B2042" s="1" t="n">
        <v>44620</v>
      </c>
      <c r="C2042" s="1" t="n">
        <v>45962</v>
      </c>
      <c r="D2042" t="inlineStr">
        <is>
          <t>SKÅNE LÄN</t>
        </is>
      </c>
      <c r="E2042" t="inlineStr">
        <is>
          <t>OSBY</t>
        </is>
      </c>
      <c r="F2042" t="inlineStr">
        <is>
          <t>Kommuner</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49111-2023</t>
        </is>
      </c>
      <c r="B2043" s="1" t="n">
        <v>45210.44464120371</v>
      </c>
      <c r="C2043" s="1" t="n">
        <v>45962</v>
      </c>
      <c r="D2043" t="inlineStr">
        <is>
          <t>SKÅNE LÄN</t>
        </is>
      </c>
      <c r="E2043" t="inlineStr">
        <is>
          <t>HÄSSLEHOLM</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21245-2021</t>
        </is>
      </c>
      <c r="B2044" s="1" t="n">
        <v>44320</v>
      </c>
      <c r="C2044" s="1" t="n">
        <v>45962</v>
      </c>
      <c r="D2044" t="inlineStr">
        <is>
          <t>SKÅNE LÄN</t>
        </is>
      </c>
      <c r="E2044" t="inlineStr">
        <is>
          <t>TOMELILLA</t>
        </is>
      </c>
      <c r="F2044" t="inlineStr">
        <is>
          <t>Övriga Aktiebolag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30220-2024</t>
        </is>
      </c>
      <c r="B2045" s="1" t="n">
        <v>45490</v>
      </c>
      <c r="C2045" s="1" t="n">
        <v>45962</v>
      </c>
      <c r="D2045" t="inlineStr">
        <is>
          <t>SKÅNE LÄN</t>
        </is>
      </c>
      <c r="E2045" t="inlineStr">
        <is>
          <t>KRISTIANSTAD</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1166-2024</t>
        </is>
      </c>
      <c r="B2046" s="1" t="n">
        <v>45302</v>
      </c>
      <c r="C2046" s="1" t="n">
        <v>45962</v>
      </c>
      <c r="D2046" t="inlineStr">
        <is>
          <t>SKÅNE LÄN</t>
        </is>
      </c>
      <c r="E2046" t="inlineStr">
        <is>
          <t>PERSTORP</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61178-2022</t>
        </is>
      </c>
      <c r="B2047" s="1" t="n">
        <v>44915</v>
      </c>
      <c r="C2047" s="1" t="n">
        <v>45962</v>
      </c>
      <c r="D2047" t="inlineStr">
        <is>
          <t>SKÅNE LÄN</t>
        </is>
      </c>
      <c r="E2047" t="inlineStr">
        <is>
          <t>HÄSSLEHOLM</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61185-2022</t>
        </is>
      </c>
      <c r="B2048" s="1" t="n">
        <v>44915</v>
      </c>
      <c r="C2048" s="1" t="n">
        <v>45962</v>
      </c>
      <c r="D2048" t="inlineStr">
        <is>
          <t>SKÅNE LÄN</t>
        </is>
      </c>
      <c r="E2048" t="inlineStr">
        <is>
          <t>HÄSSLEHOLM</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11908-2025</t>
        </is>
      </c>
      <c r="B2049" s="1" t="n">
        <v>45728.48403935185</v>
      </c>
      <c r="C2049" s="1" t="n">
        <v>45962</v>
      </c>
      <c r="D2049" t="inlineStr">
        <is>
          <t>SKÅNE LÄN</t>
        </is>
      </c>
      <c r="E2049" t="inlineStr">
        <is>
          <t>OSBY</t>
        </is>
      </c>
      <c r="G2049" t="n">
        <v>3</v>
      </c>
      <c r="H2049" t="n">
        <v>0</v>
      </c>
      <c r="I2049" t="n">
        <v>0</v>
      </c>
      <c r="J2049" t="n">
        <v>0</v>
      </c>
      <c r="K2049" t="n">
        <v>0</v>
      </c>
      <c r="L2049" t="n">
        <v>0</v>
      </c>
      <c r="M2049" t="n">
        <v>0</v>
      </c>
      <c r="N2049" t="n">
        <v>0</v>
      </c>
      <c r="O2049" t="n">
        <v>0</v>
      </c>
      <c r="P2049" t="n">
        <v>0</v>
      </c>
      <c r="Q2049" t="n">
        <v>0</v>
      </c>
      <c r="R2049" s="2" t="inlineStr"/>
    </row>
    <row r="2050" ht="15" customHeight="1">
      <c r="A2050" t="inlineStr">
        <is>
          <t>A 58562-2022</t>
        </is>
      </c>
      <c r="B2050" s="1" t="n">
        <v>44902</v>
      </c>
      <c r="C2050" s="1" t="n">
        <v>45962</v>
      </c>
      <c r="D2050" t="inlineStr">
        <is>
          <t>SKÅNE LÄN</t>
        </is>
      </c>
      <c r="E2050" t="inlineStr">
        <is>
          <t>OSBY</t>
        </is>
      </c>
      <c r="F2050" t="inlineStr">
        <is>
          <t>Sveaskog</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25850-2022</t>
        </is>
      </c>
      <c r="B2051" s="1" t="n">
        <v>44733.60949074074</v>
      </c>
      <c r="C2051" s="1" t="n">
        <v>45962</v>
      </c>
      <c r="D2051" t="inlineStr">
        <is>
          <t>SKÅNE LÄN</t>
        </is>
      </c>
      <c r="E2051" t="inlineStr">
        <is>
          <t>HÖRBY</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33362-2023</t>
        </is>
      </c>
      <c r="B2052" s="1" t="n">
        <v>45128</v>
      </c>
      <c r="C2052" s="1" t="n">
        <v>45962</v>
      </c>
      <c r="D2052" t="inlineStr">
        <is>
          <t>SKÅNE LÄN</t>
        </is>
      </c>
      <c r="E2052" t="inlineStr">
        <is>
          <t>KRISTIANSTAD</t>
        </is>
      </c>
      <c r="G2052" t="n">
        <v>4.9</v>
      </c>
      <c r="H2052" t="n">
        <v>0</v>
      </c>
      <c r="I2052" t="n">
        <v>0</v>
      </c>
      <c r="J2052" t="n">
        <v>0</v>
      </c>
      <c r="K2052" t="n">
        <v>0</v>
      </c>
      <c r="L2052" t="n">
        <v>0</v>
      </c>
      <c r="M2052" t="n">
        <v>0</v>
      </c>
      <c r="N2052" t="n">
        <v>0</v>
      </c>
      <c r="O2052" t="n">
        <v>0</v>
      </c>
      <c r="P2052" t="n">
        <v>0</v>
      </c>
      <c r="Q2052" t="n">
        <v>0</v>
      </c>
      <c r="R2052" s="2" t="inlineStr"/>
    </row>
    <row r="2053" ht="15" customHeight="1">
      <c r="A2053" t="inlineStr">
        <is>
          <t>A 59236-2022</t>
        </is>
      </c>
      <c r="B2053" s="1" t="n">
        <v>44904.56056712963</v>
      </c>
      <c r="C2053" s="1" t="n">
        <v>45962</v>
      </c>
      <c r="D2053" t="inlineStr">
        <is>
          <t>SKÅNE LÄN</t>
        </is>
      </c>
      <c r="E2053" t="inlineStr">
        <is>
          <t>OSBY</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58915-2023</t>
        </is>
      </c>
      <c r="B2054" s="1" t="n">
        <v>45250</v>
      </c>
      <c r="C2054" s="1" t="n">
        <v>45962</v>
      </c>
      <c r="D2054" t="inlineStr">
        <is>
          <t>SKÅNE LÄN</t>
        </is>
      </c>
      <c r="E2054" t="inlineStr">
        <is>
          <t>HÄSSLEHOLM</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59253-2022</t>
        </is>
      </c>
      <c r="B2055" s="1" t="n">
        <v>44904.57929398148</v>
      </c>
      <c r="C2055" s="1" t="n">
        <v>45962</v>
      </c>
      <c r="D2055" t="inlineStr">
        <is>
          <t>SKÅNE LÄN</t>
        </is>
      </c>
      <c r="E2055" t="inlineStr">
        <is>
          <t>OSBY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14524-2022</t>
        </is>
      </c>
      <c r="B2056" s="1" t="n">
        <v>44655</v>
      </c>
      <c r="C2056" s="1" t="n">
        <v>45962</v>
      </c>
      <c r="D2056" t="inlineStr">
        <is>
          <t>SKÅNE LÄN</t>
        </is>
      </c>
      <c r="E2056" t="inlineStr">
        <is>
          <t>KRISTIANSTAD</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49206-2024</t>
        </is>
      </c>
      <c r="B2057" s="1" t="n">
        <v>45595.36711805555</v>
      </c>
      <c r="C2057" s="1" t="n">
        <v>45962</v>
      </c>
      <c r="D2057" t="inlineStr">
        <is>
          <t>SKÅNE LÄN</t>
        </is>
      </c>
      <c r="E2057" t="inlineStr">
        <is>
          <t>ÄNGELHOLM</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2449-2023</t>
        </is>
      </c>
      <c r="B2058" s="1" t="n">
        <v>44943.43438657407</v>
      </c>
      <c r="C2058" s="1" t="n">
        <v>45962</v>
      </c>
      <c r="D2058" t="inlineStr">
        <is>
          <t>SKÅNE LÄN</t>
        </is>
      </c>
      <c r="E2058" t="inlineStr">
        <is>
          <t>SJÖBO</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39044-2024</t>
        </is>
      </c>
      <c r="B2059" s="1" t="n">
        <v>45548.47707175926</v>
      </c>
      <c r="C2059" s="1" t="n">
        <v>45962</v>
      </c>
      <c r="D2059" t="inlineStr">
        <is>
          <t>SKÅNE LÄN</t>
        </is>
      </c>
      <c r="E2059" t="inlineStr">
        <is>
          <t>HÄSSLEHOLM</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5059-2025</t>
        </is>
      </c>
      <c r="B2060" s="1" t="n">
        <v>45691.47211805556</v>
      </c>
      <c r="C2060" s="1" t="n">
        <v>45962</v>
      </c>
      <c r="D2060" t="inlineStr">
        <is>
          <t>SKÅNE LÄN</t>
        </is>
      </c>
      <c r="E2060" t="inlineStr">
        <is>
          <t>LUND</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19503-2022</t>
        </is>
      </c>
      <c r="B2061" s="1" t="n">
        <v>44693</v>
      </c>
      <c r="C2061" s="1" t="n">
        <v>45962</v>
      </c>
      <c r="D2061" t="inlineStr">
        <is>
          <t>SKÅNE LÄN</t>
        </is>
      </c>
      <c r="E2061" t="inlineStr">
        <is>
          <t>ÄNGELHOLM</t>
        </is>
      </c>
      <c r="G2061" t="n">
        <v>5.1</v>
      </c>
      <c r="H2061" t="n">
        <v>0</v>
      </c>
      <c r="I2061" t="n">
        <v>0</v>
      </c>
      <c r="J2061" t="n">
        <v>0</v>
      </c>
      <c r="K2061" t="n">
        <v>0</v>
      </c>
      <c r="L2061" t="n">
        <v>0</v>
      </c>
      <c r="M2061" t="n">
        <v>0</v>
      </c>
      <c r="N2061" t="n">
        <v>0</v>
      </c>
      <c r="O2061" t="n">
        <v>0</v>
      </c>
      <c r="P2061" t="n">
        <v>0</v>
      </c>
      <c r="Q2061" t="n">
        <v>0</v>
      </c>
      <c r="R2061" s="2" t="inlineStr"/>
    </row>
    <row r="2062" ht="15" customHeight="1">
      <c r="A2062" t="inlineStr">
        <is>
          <t>A 13159-2024</t>
        </is>
      </c>
      <c r="B2062" s="1" t="n">
        <v>45386</v>
      </c>
      <c r="C2062" s="1" t="n">
        <v>45962</v>
      </c>
      <c r="D2062" t="inlineStr">
        <is>
          <t>SKÅNE LÄN</t>
        </is>
      </c>
      <c r="E2062" t="inlineStr">
        <is>
          <t>TOMELILLA</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18146-2022</t>
        </is>
      </c>
      <c r="B2063" s="1" t="n">
        <v>44684.59604166666</v>
      </c>
      <c r="C2063" s="1" t="n">
        <v>45962</v>
      </c>
      <c r="D2063" t="inlineStr">
        <is>
          <t>SKÅNE LÄN</t>
        </is>
      </c>
      <c r="E2063" t="inlineStr">
        <is>
          <t>KRISTIANSTAD</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29198-2024</t>
        </is>
      </c>
      <c r="B2064" s="1" t="n">
        <v>45482.58282407407</v>
      </c>
      <c r="C2064" s="1" t="n">
        <v>45962</v>
      </c>
      <c r="D2064" t="inlineStr">
        <is>
          <t>SKÅNE LÄN</t>
        </is>
      </c>
      <c r="E2064" t="inlineStr">
        <is>
          <t>KRISTIANSTAD</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29199-2024</t>
        </is>
      </c>
      <c r="B2065" s="1" t="n">
        <v>45482.58454861111</v>
      </c>
      <c r="C2065" s="1" t="n">
        <v>45962</v>
      </c>
      <c r="D2065" t="inlineStr">
        <is>
          <t>SKÅNE LÄN</t>
        </is>
      </c>
      <c r="E2065" t="inlineStr">
        <is>
          <t>KRISTIANSTAD</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15508-2023</t>
        </is>
      </c>
      <c r="B2066" s="1" t="n">
        <v>45020.50045138889</v>
      </c>
      <c r="C2066" s="1" t="n">
        <v>45962</v>
      </c>
      <c r="D2066" t="inlineStr">
        <is>
          <t>SKÅNE LÄN</t>
        </is>
      </c>
      <c r="E2066" t="inlineStr">
        <is>
          <t>HÄSSLEHOLM</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666-2024</t>
        </is>
      </c>
      <c r="B2067" s="1" t="n">
        <v>45300.32600694444</v>
      </c>
      <c r="C2067" s="1" t="n">
        <v>45962</v>
      </c>
      <c r="D2067" t="inlineStr">
        <is>
          <t>SKÅNE LÄN</t>
        </is>
      </c>
      <c r="E2067" t="inlineStr">
        <is>
          <t>HÖRBY</t>
        </is>
      </c>
      <c r="F2067" t="inlineStr">
        <is>
          <t>Sveaskog</t>
        </is>
      </c>
      <c r="G2067" t="n">
        <v>5.8</v>
      </c>
      <c r="H2067" t="n">
        <v>0</v>
      </c>
      <c r="I2067" t="n">
        <v>0</v>
      </c>
      <c r="J2067" t="n">
        <v>0</v>
      </c>
      <c r="K2067" t="n">
        <v>0</v>
      </c>
      <c r="L2067" t="n">
        <v>0</v>
      </c>
      <c r="M2067" t="n">
        <v>0</v>
      </c>
      <c r="N2067" t="n">
        <v>0</v>
      </c>
      <c r="O2067" t="n">
        <v>0</v>
      </c>
      <c r="P2067" t="n">
        <v>0</v>
      </c>
      <c r="Q2067" t="n">
        <v>0</v>
      </c>
      <c r="R2067" s="2" t="inlineStr"/>
    </row>
    <row r="2068" ht="15" customHeight="1">
      <c r="A2068" t="inlineStr">
        <is>
          <t>A 41253-2023</t>
        </is>
      </c>
      <c r="B2068" s="1" t="n">
        <v>45174.51077546296</v>
      </c>
      <c r="C2068" s="1" t="n">
        <v>45962</v>
      </c>
      <c r="D2068" t="inlineStr">
        <is>
          <t>SKÅNE LÄN</t>
        </is>
      </c>
      <c r="E2068" t="inlineStr">
        <is>
          <t>BROMÖLLA</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38684-2022</t>
        </is>
      </c>
      <c r="B2069" s="1" t="n">
        <v>44814</v>
      </c>
      <c r="C2069" s="1" t="n">
        <v>45962</v>
      </c>
      <c r="D2069" t="inlineStr">
        <is>
          <t>SKÅNE LÄN</t>
        </is>
      </c>
      <c r="E2069" t="inlineStr">
        <is>
          <t>HÖRBY</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47890-2022</t>
        </is>
      </c>
      <c r="B2070" s="1" t="n">
        <v>44855</v>
      </c>
      <c r="C2070" s="1" t="n">
        <v>45962</v>
      </c>
      <c r="D2070" t="inlineStr">
        <is>
          <t>SKÅNE LÄN</t>
        </is>
      </c>
      <c r="E2070" t="inlineStr">
        <is>
          <t>ÖRKELLJUNGA</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5096-2022</t>
        </is>
      </c>
      <c r="B2071" s="1" t="n">
        <v>44593</v>
      </c>
      <c r="C2071" s="1" t="n">
        <v>45962</v>
      </c>
      <c r="D2071" t="inlineStr">
        <is>
          <t>SKÅNE LÄN</t>
        </is>
      </c>
      <c r="E2071" t="inlineStr">
        <is>
          <t>ÖSTRA GÖINGE</t>
        </is>
      </c>
      <c r="G2071" t="n">
        <v>4.2</v>
      </c>
      <c r="H2071" t="n">
        <v>0</v>
      </c>
      <c r="I2071" t="n">
        <v>0</v>
      </c>
      <c r="J2071" t="n">
        <v>0</v>
      </c>
      <c r="K2071" t="n">
        <v>0</v>
      </c>
      <c r="L2071" t="n">
        <v>0</v>
      </c>
      <c r="M2071" t="n">
        <v>0</v>
      </c>
      <c r="N2071" t="n">
        <v>0</v>
      </c>
      <c r="O2071" t="n">
        <v>0</v>
      </c>
      <c r="P2071" t="n">
        <v>0</v>
      </c>
      <c r="Q2071" t="n">
        <v>0</v>
      </c>
      <c r="R2071" s="2" t="inlineStr"/>
    </row>
    <row r="2072" ht="15" customHeight="1">
      <c r="A2072" t="inlineStr">
        <is>
          <t>A 18333-2025</t>
        </is>
      </c>
      <c r="B2072" s="1" t="n">
        <v>45762.4968287037</v>
      </c>
      <c r="C2072" s="1" t="n">
        <v>45962</v>
      </c>
      <c r="D2072" t="inlineStr">
        <is>
          <t>SKÅNE LÄN</t>
        </is>
      </c>
      <c r="E2072" t="inlineStr">
        <is>
          <t>OSBY</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593-2023</t>
        </is>
      </c>
      <c r="B2073" s="1" t="n">
        <v>44930.55528935185</v>
      </c>
      <c r="C2073" s="1" t="n">
        <v>45962</v>
      </c>
      <c r="D2073" t="inlineStr">
        <is>
          <t>SKÅNE LÄN</t>
        </is>
      </c>
      <c r="E2073" t="inlineStr">
        <is>
          <t>KLIPPAN</t>
        </is>
      </c>
      <c r="G2073" t="n">
        <v>0.2</v>
      </c>
      <c r="H2073" t="n">
        <v>0</v>
      </c>
      <c r="I2073" t="n">
        <v>0</v>
      </c>
      <c r="J2073" t="n">
        <v>0</v>
      </c>
      <c r="K2073" t="n">
        <v>0</v>
      </c>
      <c r="L2073" t="n">
        <v>0</v>
      </c>
      <c r="M2073" t="n">
        <v>0</v>
      </c>
      <c r="N2073" t="n">
        <v>0</v>
      </c>
      <c r="O2073" t="n">
        <v>0</v>
      </c>
      <c r="P2073" t="n">
        <v>0</v>
      </c>
      <c r="Q2073" t="n">
        <v>0</v>
      </c>
      <c r="R2073" s="2" t="inlineStr"/>
    </row>
    <row r="2074" ht="15" customHeight="1">
      <c r="A2074" t="inlineStr">
        <is>
          <t>A 39015-2023</t>
        </is>
      </c>
      <c r="B2074" s="1" t="n">
        <v>45162</v>
      </c>
      <c r="C2074" s="1" t="n">
        <v>45962</v>
      </c>
      <c r="D2074" t="inlineStr">
        <is>
          <t>SKÅNE LÄN</t>
        </is>
      </c>
      <c r="E2074" t="inlineStr">
        <is>
          <t>SIMRISHAMN</t>
        </is>
      </c>
      <c r="G2074" t="n">
        <v>9</v>
      </c>
      <c r="H2074" t="n">
        <v>0</v>
      </c>
      <c r="I2074" t="n">
        <v>0</v>
      </c>
      <c r="J2074" t="n">
        <v>0</v>
      </c>
      <c r="K2074" t="n">
        <v>0</v>
      </c>
      <c r="L2074" t="n">
        <v>0</v>
      </c>
      <c r="M2074" t="n">
        <v>0</v>
      </c>
      <c r="N2074" t="n">
        <v>0</v>
      </c>
      <c r="O2074" t="n">
        <v>0</v>
      </c>
      <c r="P2074" t="n">
        <v>0</v>
      </c>
      <c r="Q2074" t="n">
        <v>0</v>
      </c>
      <c r="R2074" s="2" t="inlineStr"/>
    </row>
    <row r="2075" ht="15" customHeight="1">
      <c r="A2075" t="inlineStr">
        <is>
          <t>A 5779-2022</t>
        </is>
      </c>
      <c r="B2075" s="1" t="n">
        <v>44596</v>
      </c>
      <c r="C2075" s="1" t="n">
        <v>45962</v>
      </c>
      <c r="D2075" t="inlineStr">
        <is>
          <t>SKÅNE LÄN</t>
        </is>
      </c>
      <c r="E2075" t="inlineStr">
        <is>
          <t>BROMÖLLA</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31255-2024</t>
        </is>
      </c>
      <c r="B2076" s="1" t="n">
        <v>45503.69114583333</v>
      </c>
      <c r="C2076" s="1" t="n">
        <v>45962</v>
      </c>
      <c r="D2076" t="inlineStr">
        <is>
          <t>SKÅNE LÄN</t>
        </is>
      </c>
      <c r="E2076" t="inlineStr">
        <is>
          <t>HÄSSLEHOLM</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8811-2025</t>
        </is>
      </c>
      <c r="B2077" s="1" t="n">
        <v>45712</v>
      </c>
      <c r="C2077" s="1" t="n">
        <v>45962</v>
      </c>
      <c r="D2077" t="inlineStr">
        <is>
          <t>SKÅNE LÄN</t>
        </is>
      </c>
      <c r="E2077" t="inlineStr">
        <is>
          <t>KRISTIANSTAD</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42724-2023</t>
        </is>
      </c>
      <c r="B2078" s="1" t="n">
        <v>45176</v>
      </c>
      <c r="C2078" s="1" t="n">
        <v>45962</v>
      </c>
      <c r="D2078" t="inlineStr">
        <is>
          <t>SKÅNE LÄN</t>
        </is>
      </c>
      <c r="E2078" t="inlineStr">
        <is>
          <t>HÖRBY</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33331-2024</t>
        </is>
      </c>
      <c r="B2079" s="1" t="n">
        <v>45519</v>
      </c>
      <c r="C2079" s="1" t="n">
        <v>45962</v>
      </c>
      <c r="D2079" t="inlineStr">
        <is>
          <t>SKÅNE LÄN</t>
        </is>
      </c>
      <c r="E2079" t="inlineStr">
        <is>
          <t>KLIPPAN</t>
        </is>
      </c>
      <c r="F2079" t="inlineStr">
        <is>
          <t>Sveaskog</t>
        </is>
      </c>
      <c r="G2079" t="n">
        <v>3.9</v>
      </c>
      <c r="H2079" t="n">
        <v>0</v>
      </c>
      <c r="I2079" t="n">
        <v>0</v>
      </c>
      <c r="J2079" t="n">
        <v>0</v>
      </c>
      <c r="K2079" t="n">
        <v>0</v>
      </c>
      <c r="L2079" t="n">
        <v>0</v>
      </c>
      <c r="M2079" t="n">
        <v>0</v>
      </c>
      <c r="N2079" t="n">
        <v>0</v>
      </c>
      <c r="O2079" t="n">
        <v>0</v>
      </c>
      <c r="P2079" t="n">
        <v>0</v>
      </c>
      <c r="Q2079" t="n">
        <v>0</v>
      </c>
      <c r="R2079" s="2" t="inlineStr"/>
    </row>
    <row r="2080" ht="15" customHeight="1">
      <c r="A2080" t="inlineStr">
        <is>
          <t>A 1475-2022</t>
        </is>
      </c>
      <c r="B2080" s="1" t="n">
        <v>44573.50236111111</v>
      </c>
      <c r="C2080" s="1" t="n">
        <v>45962</v>
      </c>
      <c r="D2080" t="inlineStr">
        <is>
          <t>SKÅNE LÄN</t>
        </is>
      </c>
      <c r="E2080" t="inlineStr">
        <is>
          <t>HÖÖR</t>
        </is>
      </c>
      <c r="G2080" t="n">
        <v>4.6</v>
      </c>
      <c r="H2080" t="n">
        <v>0</v>
      </c>
      <c r="I2080" t="n">
        <v>0</v>
      </c>
      <c r="J2080" t="n">
        <v>0</v>
      </c>
      <c r="K2080" t="n">
        <v>0</v>
      </c>
      <c r="L2080" t="n">
        <v>0</v>
      </c>
      <c r="M2080" t="n">
        <v>0</v>
      </c>
      <c r="N2080" t="n">
        <v>0</v>
      </c>
      <c r="O2080" t="n">
        <v>0</v>
      </c>
      <c r="P2080" t="n">
        <v>0</v>
      </c>
      <c r="Q2080" t="n">
        <v>0</v>
      </c>
      <c r="R2080" s="2" t="inlineStr"/>
    </row>
    <row r="2081" ht="15" customHeight="1">
      <c r="A2081" t="inlineStr">
        <is>
          <t>A 15172-2021</t>
        </is>
      </c>
      <c r="B2081" s="1" t="n">
        <v>44284.3875462963</v>
      </c>
      <c r="C2081" s="1" t="n">
        <v>45962</v>
      </c>
      <c r="D2081" t="inlineStr">
        <is>
          <t>SKÅNE LÄN</t>
        </is>
      </c>
      <c r="E2081" t="inlineStr">
        <is>
          <t>OSBY</t>
        </is>
      </c>
      <c r="G2081" t="n">
        <v>1.7</v>
      </c>
      <c r="H2081" t="n">
        <v>0</v>
      </c>
      <c r="I2081" t="n">
        <v>0</v>
      </c>
      <c r="J2081" t="n">
        <v>0</v>
      </c>
      <c r="K2081" t="n">
        <v>0</v>
      </c>
      <c r="L2081" t="n">
        <v>0</v>
      </c>
      <c r="M2081" t="n">
        <v>0</v>
      </c>
      <c r="N2081" t="n">
        <v>0</v>
      </c>
      <c r="O2081" t="n">
        <v>0</v>
      </c>
      <c r="P2081" t="n">
        <v>0</v>
      </c>
      <c r="Q2081" t="n">
        <v>0</v>
      </c>
      <c r="R2081" s="2" t="inlineStr"/>
    </row>
    <row r="2082" ht="15" customHeight="1">
      <c r="A2082" t="inlineStr">
        <is>
          <t>A 30738-2021</t>
        </is>
      </c>
      <c r="B2082" s="1" t="n">
        <v>44365.45446759259</v>
      </c>
      <c r="C2082" s="1" t="n">
        <v>45962</v>
      </c>
      <c r="D2082" t="inlineStr">
        <is>
          <t>SKÅNE LÄN</t>
        </is>
      </c>
      <c r="E2082" t="inlineStr">
        <is>
          <t>KLIPPAN</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13977-2025</t>
        </is>
      </c>
      <c r="B2083" s="1" t="n">
        <v>45738.68771990741</v>
      </c>
      <c r="C2083" s="1" t="n">
        <v>45962</v>
      </c>
      <c r="D2083" t="inlineStr">
        <is>
          <t>SKÅNE LÄN</t>
        </is>
      </c>
      <c r="E2083" t="inlineStr">
        <is>
          <t>KRISTIANSTAD</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44697-2021</t>
        </is>
      </c>
      <c r="B2084" s="1" t="n">
        <v>44438</v>
      </c>
      <c r="C2084" s="1" t="n">
        <v>45962</v>
      </c>
      <c r="D2084" t="inlineStr">
        <is>
          <t>SKÅNE LÄN</t>
        </is>
      </c>
      <c r="E2084" t="inlineStr">
        <is>
          <t>HÄSSLEHOLM</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56820-2024</t>
        </is>
      </c>
      <c r="B2085" s="1" t="n">
        <v>45628</v>
      </c>
      <c r="C2085" s="1" t="n">
        <v>45962</v>
      </c>
      <c r="D2085" t="inlineStr">
        <is>
          <t>SKÅNE LÄN</t>
        </is>
      </c>
      <c r="E2085" t="inlineStr">
        <is>
          <t>SIMRISHAMN</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25714-2025</t>
        </is>
      </c>
      <c r="B2086" s="1" t="n">
        <v>45803</v>
      </c>
      <c r="C2086" s="1" t="n">
        <v>45962</v>
      </c>
      <c r="D2086" t="inlineStr">
        <is>
          <t>SKÅNE LÄN</t>
        </is>
      </c>
      <c r="E2086" t="inlineStr">
        <is>
          <t>KRISTIANSTAD</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3565-2025</t>
        </is>
      </c>
      <c r="B2087" s="1" t="n">
        <v>45680.68038194445</v>
      </c>
      <c r="C2087" s="1" t="n">
        <v>45962</v>
      </c>
      <c r="D2087" t="inlineStr">
        <is>
          <t>SKÅNE LÄN</t>
        </is>
      </c>
      <c r="E2087" t="inlineStr">
        <is>
          <t>ÄNGELHOLM</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28247-2022</t>
        </is>
      </c>
      <c r="B2088" s="1" t="n">
        <v>44746</v>
      </c>
      <c r="C2088" s="1" t="n">
        <v>45962</v>
      </c>
      <c r="D2088" t="inlineStr">
        <is>
          <t>SKÅNE LÄN</t>
        </is>
      </c>
      <c r="E2088" t="inlineStr">
        <is>
          <t>PERSTORP</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30806-2023</t>
        </is>
      </c>
      <c r="B2089" s="1" t="n">
        <v>45112.82001157408</v>
      </c>
      <c r="C2089" s="1" t="n">
        <v>45962</v>
      </c>
      <c r="D2089" t="inlineStr">
        <is>
          <t>SKÅNE LÄN</t>
        </is>
      </c>
      <c r="E2089" t="inlineStr">
        <is>
          <t>TOMELILLA</t>
        </is>
      </c>
      <c r="F2089" t="inlineStr">
        <is>
          <t>Övriga Aktiebolag</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8433-2024</t>
        </is>
      </c>
      <c r="B2090" s="1" t="n">
        <v>45353.48434027778</v>
      </c>
      <c r="C2090" s="1" t="n">
        <v>45962</v>
      </c>
      <c r="D2090" t="inlineStr">
        <is>
          <t>SKÅNE LÄN</t>
        </is>
      </c>
      <c r="E2090" t="inlineStr">
        <is>
          <t>HÄSSLEHOLM</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31640-2024</t>
        </is>
      </c>
      <c r="B2091" s="1" t="n">
        <v>45506.58966435185</v>
      </c>
      <c r="C2091" s="1" t="n">
        <v>45962</v>
      </c>
      <c r="D2091" t="inlineStr">
        <is>
          <t>SKÅNE LÄN</t>
        </is>
      </c>
      <c r="E2091" t="inlineStr">
        <is>
          <t>OSBY</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48807-2021</t>
        </is>
      </c>
      <c r="B2092" s="1" t="n">
        <v>44452</v>
      </c>
      <c r="C2092" s="1" t="n">
        <v>45962</v>
      </c>
      <c r="D2092" t="inlineStr">
        <is>
          <t>SKÅNE LÄN</t>
        </is>
      </c>
      <c r="E2092" t="inlineStr">
        <is>
          <t>HÄSSLEHOLM</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12025-2025</t>
        </is>
      </c>
      <c r="B2093" s="1" t="n">
        <v>45728.63755787037</v>
      </c>
      <c r="C2093" s="1" t="n">
        <v>45962</v>
      </c>
      <c r="D2093" t="inlineStr">
        <is>
          <t>SKÅNE LÄN</t>
        </is>
      </c>
      <c r="E2093" t="inlineStr">
        <is>
          <t>HÖÖR</t>
        </is>
      </c>
      <c r="G2093" t="n">
        <v>3.6</v>
      </c>
      <c r="H2093" t="n">
        <v>0</v>
      </c>
      <c r="I2093" t="n">
        <v>0</v>
      </c>
      <c r="J2093" t="n">
        <v>0</v>
      </c>
      <c r="K2093" t="n">
        <v>0</v>
      </c>
      <c r="L2093" t="n">
        <v>0</v>
      </c>
      <c r="M2093" t="n">
        <v>0</v>
      </c>
      <c r="N2093" t="n">
        <v>0</v>
      </c>
      <c r="O2093" t="n">
        <v>0</v>
      </c>
      <c r="P2093" t="n">
        <v>0</v>
      </c>
      <c r="Q2093" t="n">
        <v>0</v>
      </c>
      <c r="R2093" s="2" t="inlineStr"/>
    </row>
    <row r="2094" ht="15" customHeight="1">
      <c r="A2094" t="inlineStr">
        <is>
          <t>A 28457-2024</t>
        </is>
      </c>
      <c r="B2094" s="1" t="n">
        <v>45477.68884259259</v>
      </c>
      <c r="C2094" s="1" t="n">
        <v>45962</v>
      </c>
      <c r="D2094" t="inlineStr">
        <is>
          <t>SKÅNE LÄN</t>
        </is>
      </c>
      <c r="E2094" t="inlineStr">
        <is>
          <t>HÄSSLEHOLM</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44442-2023</t>
        </is>
      </c>
      <c r="B2095" s="1" t="n">
        <v>45189.37082175926</v>
      </c>
      <c r="C2095" s="1" t="n">
        <v>45962</v>
      </c>
      <c r="D2095" t="inlineStr">
        <is>
          <t>SKÅNE LÄN</t>
        </is>
      </c>
      <c r="E2095" t="inlineStr">
        <is>
          <t>KRISTIANSTAD</t>
        </is>
      </c>
      <c r="F2095" t="inlineStr">
        <is>
          <t>Sveaskog</t>
        </is>
      </c>
      <c r="G2095" t="n">
        <v>0.2</v>
      </c>
      <c r="H2095" t="n">
        <v>0</v>
      </c>
      <c r="I2095" t="n">
        <v>0</v>
      </c>
      <c r="J2095" t="n">
        <v>0</v>
      </c>
      <c r="K2095" t="n">
        <v>0</v>
      </c>
      <c r="L2095" t="n">
        <v>0</v>
      </c>
      <c r="M2095" t="n">
        <v>0</v>
      </c>
      <c r="N2095" t="n">
        <v>0</v>
      </c>
      <c r="O2095" t="n">
        <v>0</v>
      </c>
      <c r="P2095" t="n">
        <v>0</v>
      </c>
      <c r="Q2095" t="n">
        <v>0</v>
      </c>
      <c r="R2095" s="2" t="inlineStr"/>
    </row>
    <row r="2096" ht="15" customHeight="1">
      <c r="A2096" t="inlineStr">
        <is>
          <t>A 63073-2020</t>
        </is>
      </c>
      <c r="B2096" s="1" t="n">
        <v>44162</v>
      </c>
      <c r="C2096" s="1" t="n">
        <v>45962</v>
      </c>
      <c r="D2096" t="inlineStr">
        <is>
          <t>SKÅNE LÄN</t>
        </is>
      </c>
      <c r="E2096" t="inlineStr">
        <is>
          <t>KLIPPAN</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41623-2023</t>
        </is>
      </c>
      <c r="B2097" s="1" t="n">
        <v>45175.68952546296</v>
      </c>
      <c r="C2097" s="1" t="n">
        <v>45962</v>
      </c>
      <c r="D2097" t="inlineStr">
        <is>
          <t>SKÅNE LÄN</t>
        </is>
      </c>
      <c r="E2097" t="inlineStr">
        <is>
          <t>HÖÖR</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51826-2022</t>
        </is>
      </c>
      <c r="B2098" s="1" t="n">
        <v>44872</v>
      </c>
      <c r="C2098" s="1" t="n">
        <v>45962</v>
      </c>
      <c r="D2098" t="inlineStr">
        <is>
          <t>SKÅNE LÄN</t>
        </is>
      </c>
      <c r="E2098" t="inlineStr">
        <is>
          <t>HÖRBY</t>
        </is>
      </c>
      <c r="F2098" t="inlineStr">
        <is>
          <t>Sveaskog</t>
        </is>
      </c>
      <c r="G2098" t="n">
        <v>14.3</v>
      </c>
      <c r="H2098" t="n">
        <v>0</v>
      </c>
      <c r="I2098" t="n">
        <v>0</v>
      </c>
      <c r="J2098" t="n">
        <v>0</v>
      </c>
      <c r="K2098" t="n">
        <v>0</v>
      </c>
      <c r="L2098" t="n">
        <v>0</v>
      </c>
      <c r="M2098" t="n">
        <v>0</v>
      </c>
      <c r="N2098" t="n">
        <v>0</v>
      </c>
      <c r="O2098" t="n">
        <v>0</v>
      </c>
      <c r="P2098" t="n">
        <v>0</v>
      </c>
      <c r="Q2098" t="n">
        <v>0</v>
      </c>
      <c r="R2098" s="2" t="inlineStr"/>
    </row>
    <row r="2099" ht="15" customHeight="1">
      <c r="A2099" t="inlineStr">
        <is>
          <t>A 15951-2024</t>
        </is>
      </c>
      <c r="B2099" s="1" t="n">
        <v>45405</v>
      </c>
      <c r="C2099" s="1" t="n">
        <v>45962</v>
      </c>
      <c r="D2099" t="inlineStr">
        <is>
          <t>SKÅNE LÄN</t>
        </is>
      </c>
      <c r="E2099" t="inlineStr">
        <is>
          <t>KRISTIANSTAD</t>
        </is>
      </c>
      <c r="G2099" t="n">
        <v>12.2</v>
      </c>
      <c r="H2099" t="n">
        <v>0</v>
      </c>
      <c r="I2099" t="n">
        <v>0</v>
      </c>
      <c r="J2099" t="n">
        <v>0</v>
      </c>
      <c r="K2099" t="n">
        <v>0</v>
      </c>
      <c r="L2099" t="n">
        <v>0</v>
      </c>
      <c r="M2099" t="n">
        <v>0</v>
      </c>
      <c r="N2099" t="n">
        <v>0</v>
      </c>
      <c r="O2099" t="n">
        <v>0</v>
      </c>
      <c r="P2099" t="n">
        <v>0</v>
      </c>
      <c r="Q2099" t="n">
        <v>0</v>
      </c>
      <c r="R2099" s="2" t="inlineStr"/>
    </row>
    <row r="2100" ht="15" customHeight="1">
      <c r="A2100" t="inlineStr">
        <is>
          <t>A 38387-2024</t>
        </is>
      </c>
      <c r="B2100" s="1" t="n">
        <v>45546</v>
      </c>
      <c r="C2100" s="1" t="n">
        <v>45962</v>
      </c>
      <c r="D2100" t="inlineStr">
        <is>
          <t>SKÅNE LÄN</t>
        </is>
      </c>
      <c r="E2100" t="inlineStr">
        <is>
          <t>TOMELILLA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13437-2021</t>
        </is>
      </c>
      <c r="B2101" s="1" t="n">
        <v>44273</v>
      </c>
      <c r="C2101" s="1" t="n">
        <v>45962</v>
      </c>
      <c r="D2101" t="inlineStr">
        <is>
          <t>SKÅNE LÄN</t>
        </is>
      </c>
      <c r="E2101" t="inlineStr">
        <is>
          <t>ESLÖV</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13820-2023</t>
        </is>
      </c>
      <c r="B2102" s="1" t="n">
        <v>45007.58128472222</v>
      </c>
      <c r="C2102" s="1" t="n">
        <v>45962</v>
      </c>
      <c r="D2102" t="inlineStr">
        <is>
          <t>SKÅNE LÄN</t>
        </is>
      </c>
      <c r="E2102" t="inlineStr">
        <is>
          <t>KRISTIANSTAD</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14546-2024</t>
        </is>
      </c>
      <c r="B2103" s="1" t="n">
        <v>45394</v>
      </c>
      <c r="C2103" s="1" t="n">
        <v>45962</v>
      </c>
      <c r="D2103" t="inlineStr">
        <is>
          <t>SKÅNE LÄN</t>
        </is>
      </c>
      <c r="E2103" t="inlineStr">
        <is>
          <t>SVALÖV</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18571-2025</t>
        </is>
      </c>
      <c r="B2104" s="1" t="n">
        <v>45763</v>
      </c>
      <c r="C2104" s="1" t="n">
        <v>45962</v>
      </c>
      <c r="D2104" t="inlineStr">
        <is>
          <t>SKÅNE LÄN</t>
        </is>
      </c>
      <c r="E2104" t="inlineStr">
        <is>
          <t>ÄNGELHOLM</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4623-2024</t>
        </is>
      </c>
      <c r="B2105" s="1" t="n">
        <v>45328</v>
      </c>
      <c r="C2105" s="1" t="n">
        <v>45962</v>
      </c>
      <c r="D2105" t="inlineStr">
        <is>
          <t>SKÅNE LÄN</t>
        </is>
      </c>
      <c r="E2105" t="inlineStr">
        <is>
          <t>KLIPPAN</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19020-2024</t>
        </is>
      </c>
      <c r="B2106" s="1" t="n">
        <v>45427.66167824074</v>
      </c>
      <c r="C2106" s="1" t="n">
        <v>45962</v>
      </c>
      <c r="D2106" t="inlineStr">
        <is>
          <t>SKÅNE LÄN</t>
        </is>
      </c>
      <c r="E2106" t="inlineStr">
        <is>
          <t>HÄSSLEHOLM</t>
        </is>
      </c>
      <c r="G2106" t="n">
        <v>2.3</v>
      </c>
      <c r="H2106" t="n">
        <v>0</v>
      </c>
      <c r="I2106" t="n">
        <v>0</v>
      </c>
      <c r="J2106" t="n">
        <v>0</v>
      </c>
      <c r="K2106" t="n">
        <v>0</v>
      </c>
      <c r="L2106" t="n">
        <v>0</v>
      </c>
      <c r="M2106" t="n">
        <v>0</v>
      </c>
      <c r="N2106" t="n">
        <v>0</v>
      </c>
      <c r="O2106" t="n">
        <v>0</v>
      </c>
      <c r="P2106" t="n">
        <v>0</v>
      </c>
      <c r="Q2106" t="n">
        <v>0</v>
      </c>
      <c r="R2106" s="2" t="inlineStr"/>
    </row>
    <row r="2107" ht="15" customHeight="1">
      <c r="A2107" t="inlineStr">
        <is>
          <t>A 23898-2023</t>
        </is>
      </c>
      <c r="B2107" s="1" t="n">
        <v>45078.54318287037</v>
      </c>
      <c r="C2107" s="1" t="n">
        <v>45962</v>
      </c>
      <c r="D2107" t="inlineStr">
        <is>
          <t>SKÅNE LÄN</t>
        </is>
      </c>
      <c r="E2107" t="inlineStr">
        <is>
          <t>ÖRKELLJUNGA</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40668-2024</t>
        </is>
      </c>
      <c r="B2108" s="1" t="n">
        <v>45558.35518518519</v>
      </c>
      <c r="C2108" s="1" t="n">
        <v>45962</v>
      </c>
      <c r="D2108" t="inlineStr">
        <is>
          <t>SKÅNE LÄN</t>
        </is>
      </c>
      <c r="E2108" t="inlineStr">
        <is>
          <t>KRISTIANSTAD</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40734-2024</t>
        </is>
      </c>
      <c r="B2109" s="1" t="n">
        <v>45558</v>
      </c>
      <c r="C2109" s="1" t="n">
        <v>45962</v>
      </c>
      <c r="D2109" t="inlineStr">
        <is>
          <t>SKÅNE LÄN</t>
        </is>
      </c>
      <c r="E2109" t="inlineStr">
        <is>
          <t>HÄSSLEHOLM</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40738-2024</t>
        </is>
      </c>
      <c r="B2110" s="1" t="n">
        <v>45558</v>
      </c>
      <c r="C2110" s="1" t="n">
        <v>45962</v>
      </c>
      <c r="D2110" t="inlineStr">
        <is>
          <t>SKÅNE LÄN</t>
        </is>
      </c>
      <c r="E2110" t="inlineStr">
        <is>
          <t>HÄSSLEHOLM</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13245-2024</t>
        </is>
      </c>
      <c r="B2111" s="1" t="n">
        <v>45386</v>
      </c>
      <c r="C2111" s="1" t="n">
        <v>45962</v>
      </c>
      <c r="D2111" t="inlineStr">
        <is>
          <t>SKÅNE LÄN</t>
        </is>
      </c>
      <c r="E2111" t="inlineStr">
        <is>
          <t>SVALÖV</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15582-2024</t>
        </is>
      </c>
      <c r="B2112" s="1" t="n">
        <v>45401.69502314815</v>
      </c>
      <c r="C2112" s="1" t="n">
        <v>45962</v>
      </c>
      <c r="D2112" t="inlineStr">
        <is>
          <t>SKÅNE LÄN</t>
        </is>
      </c>
      <c r="E2112" t="inlineStr">
        <is>
          <t>SVEDALA</t>
        </is>
      </c>
      <c r="G2112" t="n">
        <v>7.3</v>
      </c>
      <c r="H2112" t="n">
        <v>0</v>
      </c>
      <c r="I2112" t="n">
        <v>0</v>
      </c>
      <c r="J2112" t="n">
        <v>0</v>
      </c>
      <c r="K2112" t="n">
        <v>0</v>
      </c>
      <c r="L2112" t="n">
        <v>0</v>
      </c>
      <c r="M2112" t="n">
        <v>0</v>
      </c>
      <c r="N2112" t="n">
        <v>0</v>
      </c>
      <c r="O2112" t="n">
        <v>0</v>
      </c>
      <c r="P2112" t="n">
        <v>0</v>
      </c>
      <c r="Q2112" t="n">
        <v>0</v>
      </c>
      <c r="R2112" s="2" t="inlineStr"/>
    </row>
    <row r="2113" ht="15" customHeight="1">
      <c r="A2113" t="inlineStr">
        <is>
          <t>A 37276-2024</t>
        </is>
      </c>
      <c r="B2113" s="1" t="n">
        <v>45540.40679398148</v>
      </c>
      <c r="C2113" s="1" t="n">
        <v>45962</v>
      </c>
      <c r="D2113" t="inlineStr">
        <is>
          <t>SKÅNE LÄN</t>
        </is>
      </c>
      <c r="E2113" t="inlineStr">
        <is>
          <t>HÖRBY</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16419-2023</t>
        </is>
      </c>
      <c r="B2114" s="1" t="n">
        <v>45022</v>
      </c>
      <c r="C2114" s="1" t="n">
        <v>45962</v>
      </c>
      <c r="D2114" t="inlineStr">
        <is>
          <t>SKÅNE LÄN</t>
        </is>
      </c>
      <c r="E2114" t="inlineStr">
        <is>
          <t>ÄNGELHOLM</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13522-2024</t>
        </is>
      </c>
      <c r="B2115" s="1" t="n">
        <v>45387</v>
      </c>
      <c r="C2115" s="1" t="n">
        <v>45962</v>
      </c>
      <c r="D2115" t="inlineStr">
        <is>
          <t>SKÅNE LÄN</t>
        </is>
      </c>
      <c r="E2115" t="inlineStr">
        <is>
          <t>KRISTIANSTAD</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11451-2025</t>
        </is>
      </c>
      <c r="B2116" s="1" t="n">
        <v>45726</v>
      </c>
      <c r="C2116" s="1" t="n">
        <v>45962</v>
      </c>
      <c r="D2116" t="inlineStr">
        <is>
          <t>SKÅNE LÄN</t>
        </is>
      </c>
      <c r="E2116" t="inlineStr">
        <is>
          <t>ÖSTRA GÖINGE</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49199-2024</t>
        </is>
      </c>
      <c r="B2117" s="1" t="n">
        <v>45595</v>
      </c>
      <c r="C2117" s="1" t="n">
        <v>45962</v>
      </c>
      <c r="D2117" t="inlineStr">
        <is>
          <t>SKÅNE LÄN</t>
        </is>
      </c>
      <c r="E2117" t="inlineStr">
        <is>
          <t>HÄSSLEHOLM</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27551-2023</t>
        </is>
      </c>
      <c r="B2118" s="1" t="n">
        <v>45097</v>
      </c>
      <c r="C2118" s="1" t="n">
        <v>45962</v>
      </c>
      <c r="D2118" t="inlineStr">
        <is>
          <t>SKÅNE LÄN</t>
        </is>
      </c>
      <c r="E2118" t="inlineStr">
        <is>
          <t>ÄNGELHOLM</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25960-2023</t>
        </is>
      </c>
      <c r="B2119" s="1" t="n">
        <v>45090</v>
      </c>
      <c r="C2119" s="1" t="n">
        <v>45962</v>
      </c>
      <c r="D2119" t="inlineStr">
        <is>
          <t>SKÅNE LÄN</t>
        </is>
      </c>
      <c r="E2119" t="inlineStr">
        <is>
          <t>ÖRKELLJUNGA</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57572-2024</t>
        </is>
      </c>
      <c r="B2120" s="1" t="n">
        <v>45630.46747685185</v>
      </c>
      <c r="C2120" s="1" t="n">
        <v>45962</v>
      </c>
      <c r="D2120" t="inlineStr">
        <is>
          <t>SKÅNE LÄN</t>
        </is>
      </c>
      <c r="E2120" t="inlineStr">
        <is>
          <t>HÖRBY</t>
        </is>
      </c>
      <c r="G2120" t="n">
        <v>5.6</v>
      </c>
      <c r="H2120" t="n">
        <v>0</v>
      </c>
      <c r="I2120" t="n">
        <v>0</v>
      </c>
      <c r="J2120" t="n">
        <v>0</v>
      </c>
      <c r="K2120" t="n">
        <v>0</v>
      </c>
      <c r="L2120" t="n">
        <v>0</v>
      </c>
      <c r="M2120" t="n">
        <v>0</v>
      </c>
      <c r="N2120" t="n">
        <v>0</v>
      </c>
      <c r="O2120" t="n">
        <v>0</v>
      </c>
      <c r="P2120" t="n">
        <v>0</v>
      </c>
      <c r="Q2120" t="n">
        <v>0</v>
      </c>
      <c r="R2120" s="2" t="inlineStr"/>
    </row>
    <row r="2121" ht="15" customHeight="1">
      <c r="A2121" t="inlineStr">
        <is>
          <t>A 14780-2025</t>
        </is>
      </c>
      <c r="B2121" s="1" t="n">
        <v>45742.7065162037</v>
      </c>
      <c r="C2121" s="1" t="n">
        <v>45962</v>
      </c>
      <c r="D2121" t="inlineStr">
        <is>
          <t>SKÅNE LÄN</t>
        </is>
      </c>
      <c r="E2121" t="inlineStr">
        <is>
          <t>OSBY</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17855-2025</t>
        </is>
      </c>
      <c r="B2122" s="1" t="n">
        <v>45758.61925925926</v>
      </c>
      <c r="C2122" s="1" t="n">
        <v>45962</v>
      </c>
      <c r="D2122" t="inlineStr">
        <is>
          <t>SKÅNE LÄN</t>
        </is>
      </c>
      <c r="E2122" t="inlineStr">
        <is>
          <t>ÖSTRA GÖINGE</t>
        </is>
      </c>
      <c r="F2122" t="inlineStr">
        <is>
          <t>Sveaskog</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17860-2025</t>
        </is>
      </c>
      <c r="B2123" s="1" t="n">
        <v>45758.62509259259</v>
      </c>
      <c r="C2123" s="1" t="n">
        <v>45962</v>
      </c>
      <c r="D2123" t="inlineStr">
        <is>
          <t>SKÅNE LÄN</t>
        </is>
      </c>
      <c r="E2123" t="inlineStr">
        <is>
          <t>ÖSTRA GÖINGE</t>
        </is>
      </c>
      <c r="F2123" t="inlineStr">
        <is>
          <t>Sveaskog</t>
        </is>
      </c>
      <c r="G2123" t="n">
        <v>9.1</v>
      </c>
      <c r="H2123" t="n">
        <v>0</v>
      </c>
      <c r="I2123" t="n">
        <v>0</v>
      </c>
      <c r="J2123" t="n">
        <v>0</v>
      </c>
      <c r="K2123" t="n">
        <v>0</v>
      </c>
      <c r="L2123" t="n">
        <v>0</v>
      </c>
      <c r="M2123" t="n">
        <v>0</v>
      </c>
      <c r="N2123" t="n">
        <v>0</v>
      </c>
      <c r="O2123" t="n">
        <v>0</v>
      </c>
      <c r="P2123" t="n">
        <v>0</v>
      </c>
      <c r="Q2123" t="n">
        <v>0</v>
      </c>
      <c r="R2123" s="2" t="inlineStr"/>
    </row>
    <row r="2124" ht="15" customHeight="1">
      <c r="A2124" t="inlineStr">
        <is>
          <t>A 48397-2022</t>
        </is>
      </c>
      <c r="B2124" s="1" t="n">
        <v>44858</v>
      </c>
      <c r="C2124" s="1" t="n">
        <v>45962</v>
      </c>
      <c r="D2124" t="inlineStr">
        <is>
          <t>SKÅNE LÄN</t>
        </is>
      </c>
      <c r="E2124" t="inlineStr">
        <is>
          <t>HÖRBY</t>
        </is>
      </c>
      <c r="G2124" t="n">
        <v>1.7</v>
      </c>
      <c r="H2124" t="n">
        <v>0</v>
      </c>
      <c r="I2124" t="n">
        <v>0</v>
      </c>
      <c r="J2124" t="n">
        <v>0</v>
      </c>
      <c r="K2124" t="n">
        <v>0</v>
      </c>
      <c r="L2124" t="n">
        <v>0</v>
      </c>
      <c r="M2124" t="n">
        <v>0</v>
      </c>
      <c r="N2124" t="n">
        <v>0</v>
      </c>
      <c r="O2124" t="n">
        <v>0</v>
      </c>
      <c r="P2124" t="n">
        <v>0</v>
      </c>
      <c r="Q2124" t="n">
        <v>0</v>
      </c>
      <c r="R2124" s="2" t="inlineStr"/>
    </row>
    <row r="2125" ht="15" customHeight="1">
      <c r="A2125" t="inlineStr">
        <is>
          <t>A 61934-2023</t>
        </is>
      </c>
      <c r="B2125" s="1" t="n">
        <v>45266.54125</v>
      </c>
      <c r="C2125" s="1" t="n">
        <v>45962</v>
      </c>
      <c r="D2125" t="inlineStr">
        <is>
          <t>SKÅNE LÄN</t>
        </is>
      </c>
      <c r="E2125" t="inlineStr">
        <is>
          <t>HÄSSLEHOLM</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16505-2024</t>
        </is>
      </c>
      <c r="B2126" s="1" t="n">
        <v>45408.37851851852</v>
      </c>
      <c r="C2126" s="1" t="n">
        <v>45962</v>
      </c>
      <c r="D2126" t="inlineStr">
        <is>
          <t>SKÅNE LÄN</t>
        </is>
      </c>
      <c r="E2126" t="inlineStr">
        <is>
          <t>ÖSTRA GÖINGE</t>
        </is>
      </c>
      <c r="G2126" t="n">
        <v>4.6</v>
      </c>
      <c r="H2126" t="n">
        <v>0</v>
      </c>
      <c r="I2126" t="n">
        <v>0</v>
      </c>
      <c r="J2126" t="n">
        <v>0</v>
      </c>
      <c r="K2126" t="n">
        <v>0</v>
      </c>
      <c r="L2126" t="n">
        <v>0</v>
      </c>
      <c r="M2126" t="n">
        <v>0</v>
      </c>
      <c r="N2126" t="n">
        <v>0</v>
      </c>
      <c r="O2126" t="n">
        <v>0</v>
      </c>
      <c r="P2126" t="n">
        <v>0</v>
      </c>
      <c r="Q2126" t="n">
        <v>0</v>
      </c>
      <c r="R2126" s="2" t="inlineStr"/>
    </row>
    <row r="2127" ht="15" customHeight="1">
      <c r="A2127" t="inlineStr">
        <is>
          <t>A 16509-2024</t>
        </is>
      </c>
      <c r="B2127" s="1" t="n">
        <v>45408.3866550926</v>
      </c>
      <c r="C2127" s="1" t="n">
        <v>45962</v>
      </c>
      <c r="D2127" t="inlineStr">
        <is>
          <t>SKÅNE LÄN</t>
        </is>
      </c>
      <c r="E2127" t="inlineStr">
        <is>
          <t>ÖSTRA GÖINGE</t>
        </is>
      </c>
      <c r="G2127" t="n">
        <v>8.5</v>
      </c>
      <c r="H2127" t="n">
        <v>0</v>
      </c>
      <c r="I2127" t="n">
        <v>0</v>
      </c>
      <c r="J2127" t="n">
        <v>0</v>
      </c>
      <c r="K2127" t="n">
        <v>0</v>
      </c>
      <c r="L2127" t="n">
        <v>0</v>
      </c>
      <c r="M2127" t="n">
        <v>0</v>
      </c>
      <c r="N2127" t="n">
        <v>0</v>
      </c>
      <c r="O2127" t="n">
        <v>0</v>
      </c>
      <c r="P2127" t="n">
        <v>0</v>
      </c>
      <c r="Q2127" t="n">
        <v>0</v>
      </c>
      <c r="R2127" s="2" t="inlineStr"/>
    </row>
    <row r="2128" ht="15" customHeight="1">
      <c r="A2128" t="inlineStr">
        <is>
          <t>A 13309-2025</t>
        </is>
      </c>
      <c r="B2128" s="1" t="n">
        <v>45735.58512731481</v>
      </c>
      <c r="C2128" s="1" t="n">
        <v>45962</v>
      </c>
      <c r="D2128" t="inlineStr">
        <is>
          <t>SKÅNE LÄN</t>
        </is>
      </c>
      <c r="E2128" t="inlineStr">
        <is>
          <t>HÄSSLEHOLM</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6638-2021</t>
        </is>
      </c>
      <c r="B2129" s="1" t="n">
        <v>44235</v>
      </c>
      <c r="C2129" s="1" t="n">
        <v>45962</v>
      </c>
      <c r="D2129" t="inlineStr">
        <is>
          <t>SKÅNE LÄN</t>
        </is>
      </c>
      <c r="E2129" t="inlineStr">
        <is>
          <t>HÄSSLEHOLM</t>
        </is>
      </c>
      <c r="G2129" t="n">
        <v>112.4</v>
      </c>
      <c r="H2129" t="n">
        <v>0</v>
      </c>
      <c r="I2129" t="n">
        <v>0</v>
      </c>
      <c r="J2129" t="n">
        <v>0</v>
      </c>
      <c r="K2129" t="n">
        <v>0</v>
      </c>
      <c r="L2129" t="n">
        <v>0</v>
      </c>
      <c r="M2129" t="n">
        <v>0</v>
      </c>
      <c r="N2129" t="n">
        <v>0</v>
      </c>
      <c r="O2129" t="n">
        <v>0</v>
      </c>
      <c r="P2129" t="n">
        <v>0</v>
      </c>
      <c r="Q2129" t="n">
        <v>0</v>
      </c>
      <c r="R2129" s="2" t="inlineStr"/>
    </row>
    <row r="2130" ht="15" customHeight="1">
      <c r="A2130" t="inlineStr">
        <is>
          <t>A 2555-2022</t>
        </is>
      </c>
      <c r="B2130" s="1" t="n">
        <v>44579</v>
      </c>
      <c r="C2130" s="1" t="n">
        <v>45962</v>
      </c>
      <c r="D2130" t="inlineStr">
        <is>
          <t>SKÅNE LÄN</t>
        </is>
      </c>
      <c r="E2130" t="inlineStr">
        <is>
          <t>TOMELILLA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51752-2023</t>
        </is>
      </c>
      <c r="B2131" s="1" t="n">
        <v>45222</v>
      </c>
      <c r="C2131" s="1" t="n">
        <v>45962</v>
      </c>
      <c r="D2131" t="inlineStr">
        <is>
          <t>SKÅNE LÄN</t>
        </is>
      </c>
      <c r="E2131" t="inlineStr">
        <is>
          <t>HÄSSLEHOLM</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10454-2022</t>
        </is>
      </c>
      <c r="B2132" s="1" t="n">
        <v>44623</v>
      </c>
      <c r="C2132" s="1" t="n">
        <v>45962</v>
      </c>
      <c r="D2132" t="inlineStr">
        <is>
          <t>SKÅNE LÄN</t>
        </is>
      </c>
      <c r="E2132" t="inlineStr">
        <is>
          <t>SJÖBO</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36412-2021</t>
        </is>
      </c>
      <c r="B2133" s="1" t="n">
        <v>44390</v>
      </c>
      <c r="C2133" s="1" t="n">
        <v>45962</v>
      </c>
      <c r="D2133" t="inlineStr">
        <is>
          <t>SKÅNE LÄN</t>
        </is>
      </c>
      <c r="E2133" t="inlineStr">
        <is>
          <t>KRISTIANSTAD</t>
        </is>
      </c>
      <c r="F2133" t="inlineStr">
        <is>
          <t>Kyrkan</t>
        </is>
      </c>
      <c r="G2133" t="n">
        <v>2.7</v>
      </c>
      <c r="H2133" t="n">
        <v>0</v>
      </c>
      <c r="I2133" t="n">
        <v>0</v>
      </c>
      <c r="J2133" t="n">
        <v>0</v>
      </c>
      <c r="K2133" t="n">
        <v>0</v>
      </c>
      <c r="L2133" t="n">
        <v>0</v>
      </c>
      <c r="M2133" t="n">
        <v>0</v>
      </c>
      <c r="N2133" t="n">
        <v>0</v>
      </c>
      <c r="O2133" t="n">
        <v>0</v>
      </c>
      <c r="P2133" t="n">
        <v>0</v>
      </c>
      <c r="Q2133" t="n">
        <v>0</v>
      </c>
      <c r="R2133" s="2" t="inlineStr"/>
    </row>
    <row r="2134" ht="15" customHeight="1">
      <c r="A2134" t="inlineStr">
        <is>
          <t>A 8110-2025</t>
        </is>
      </c>
      <c r="B2134" s="1" t="n">
        <v>45707.73159722222</v>
      </c>
      <c r="C2134" s="1" t="n">
        <v>45962</v>
      </c>
      <c r="D2134" t="inlineStr">
        <is>
          <t>SKÅNE LÄN</t>
        </is>
      </c>
      <c r="E2134" t="inlineStr">
        <is>
          <t>KRISTIANSTAD</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62138-2023</t>
        </is>
      </c>
      <c r="B2135" s="1" t="n">
        <v>45267.36788194445</v>
      </c>
      <c r="C2135" s="1" t="n">
        <v>45962</v>
      </c>
      <c r="D2135" t="inlineStr">
        <is>
          <t>SKÅNE LÄN</t>
        </is>
      </c>
      <c r="E2135" t="inlineStr">
        <is>
          <t>ÖSTRA GÖINGE</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4798-2023</t>
        </is>
      </c>
      <c r="B2136" s="1" t="n">
        <v>44957.61608796296</v>
      </c>
      <c r="C2136" s="1" t="n">
        <v>45962</v>
      </c>
      <c r="D2136" t="inlineStr">
        <is>
          <t>SKÅNE LÄN</t>
        </is>
      </c>
      <c r="E2136" t="inlineStr">
        <is>
          <t>OSBY</t>
        </is>
      </c>
      <c r="G2136" t="n">
        <v>9.199999999999999</v>
      </c>
      <c r="H2136" t="n">
        <v>0</v>
      </c>
      <c r="I2136" t="n">
        <v>0</v>
      </c>
      <c r="J2136" t="n">
        <v>0</v>
      </c>
      <c r="K2136" t="n">
        <v>0</v>
      </c>
      <c r="L2136" t="n">
        <v>0</v>
      </c>
      <c r="M2136" t="n">
        <v>0</v>
      </c>
      <c r="N2136" t="n">
        <v>0</v>
      </c>
      <c r="O2136" t="n">
        <v>0</v>
      </c>
      <c r="P2136" t="n">
        <v>0</v>
      </c>
      <c r="Q2136" t="n">
        <v>0</v>
      </c>
      <c r="R2136" s="2" t="inlineStr"/>
    </row>
    <row r="2137" ht="15" customHeight="1">
      <c r="A2137" t="inlineStr">
        <is>
          <t>A 34722-2023</t>
        </is>
      </c>
      <c r="B2137" s="1" t="n">
        <v>45139</v>
      </c>
      <c r="C2137" s="1" t="n">
        <v>45962</v>
      </c>
      <c r="D2137" t="inlineStr">
        <is>
          <t>SKÅNE LÄN</t>
        </is>
      </c>
      <c r="E2137" t="inlineStr">
        <is>
          <t>ÖSTRA GÖINGE</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36572-2021</t>
        </is>
      </c>
      <c r="B2138" s="1" t="n">
        <v>44391.58083333333</v>
      </c>
      <c r="C2138" s="1" t="n">
        <v>45962</v>
      </c>
      <c r="D2138" t="inlineStr">
        <is>
          <t>SKÅNE LÄN</t>
        </is>
      </c>
      <c r="E2138" t="inlineStr">
        <is>
          <t>ÖRKELLJUNGA</t>
        </is>
      </c>
      <c r="G2138" t="n">
        <v>0.4</v>
      </c>
      <c r="H2138" t="n">
        <v>0</v>
      </c>
      <c r="I2138" t="n">
        <v>0</v>
      </c>
      <c r="J2138" t="n">
        <v>0</v>
      </c>
      <c r="K2138" t="n">
        <v>0</v>
      </c>
      <c r="L2138" t="n">
        <v>0</v>
      </c>
      <c r="M2138" t="n">
        <v>0</v>
      </c>
      <c r="N2138" t="n">
        <v>0</v>
      </c>
      <c r="O2138" t="n">
        <v>0</v>
      </c>
      <c r="P2138" t="n">
        <v>0</v>
      </c>
      <c r="Q2138" t="n">
        <v>0</v>
      </c>
      <c r="R2138" s="2" t="inlineStr"/>
    </row>
    <row r="2139" ht="15" customHeight="1">
      <c r="A2139" t="inlineStr">
        <is>
          <t>A 74016-2021</t>
        </is>
      </c>
      <c r="B2139" s="1" t="n">
        <v>44557</v>
      </c>
      <c r="C2139" s="1" t="n">
        <v>45962</v>
      </c>
      <c r="D2139" t="inlineStr">
        <is>
          <t>SKÅNE LÄN</t>
        </is>
      </c>
      <c r="E2139" t="inlineStr">
        <is>
          <t>OSBY</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5046-2022</t>
        </is>
      </c>
      <c r="B2140" s="1" t="n">
        <v>44593.68116898148</v>
      </c>
      <c r="C2140" s="1" t="n">
        <v>45962</v>
      </c>
      <c r="D2140" t="inlineStr">
        <is>
          <t>SKÅNE LÄN</t>
        </is>
      </c>
      <c r="E2140" t="inlineStr">
        <is>
          <t>ÄNGELHOLM</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11701-2023</t>
        </is>
      </c>
      <c r="B2141" s="1" t="n">
        <v>44992</v>
      </c>
      <c r="C2141" s="1" t="n">
        <v>45962</v>
      </c>
      <c r="D2141" t="inlineStr">
        <is>
          <t>SKÅNE LÄN</t>
        </is>
      </c>
      <c r="E2141" t="inlineStr">
        <is>
          <t>PERSTORP</t>
        </is>
      </c>
      <c r="F2141" t="inlineStr">
        <is>
          <t>Övriga Aktiebolag</t>
        </is>
      </c>
      <c r="G2141" t="n">
        <v>6</v>
      </c>
      <c r="H2141" t="n">
        <v>0</v>
      </c>
      <c r="I2141" t="n">
        <v>0</v>
      </c>
      <c r="J2141" t="n">
        <v>0</v>
      </c>
      <c r="K2141" t="n">
        <v>0</v>
      </c>
      <c r="L2141" t="n">
        <v>0</v>
      </c>
      <c r="M2141" t="n">
        <v>0</v>
      </c>
      <c r="N2141" t="n">
        <v>0</v>
      </c>
      <c r="O2141" t="n">
        <v>0</v>
      </c>
      <c r="P2141" t="n">
        <v>0</v>
      </c>
      <c r="Q2141" t="n">
        <v>0</v>
      </c>
      <c r="R2141" s="2" t="inlineStr"/>
    </row>
    <row r="2142" ht="15" customHeight="1">
      <c r="A2142" t="inlineStr">
        <is>
          <t>A 11715-2023</t>
        </is>
      </c>
      <c r="B2142" s="1" t="n">
        <v>44992</v>
      </c>
      <c r="C2142" s="1" t="n">
        <v>45962</v>
      </c>
      <c r="D2142" t="inlineStr">
        <is>
          <t>SKÅNE LÄN</t>
        </is>
      </c>
      <c r="E2142" t="inlineStr">
        <is>
          <t>HÄSSLEHOLM</t>
        </is>
      </c>
      <c r="F2142" t="inlineStr">
        <is>
          <t>Övriga Aktiebolag</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11722-2023</t>
        </is>
      </c>
      <c r="B2143" s="1" t="n">
        <v>44992</v>
      </c>
      <c r="C2143" s="1" t="n">
        <v>45962</v>
      </c>
      <c r="D2143" t="inlineStr">
        <is>
          <t>SKÅNE LÄN</t>
        </is>
      </c>
      <c r="E2143" t="inlineStr">
        <is>
          <t>ÖSTRA GÖINGE</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38888-2023</t>
        </is>
      </c>
      <c r="B2144" s="1" t="n">
        <v>45161</v>
      </c>
      <c r="C2144" s="1" t="n">
        <v>45962</v>
      </c>
      <c r="D2144" t="inlineStr">
        <is>
          <t>SKÅNE LÄN</t>
        </is>
      </c>
      <c r="E2144" t="inlineStr">
        <is>
          <t>HÄSSLEHOLM</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2712-2024</t>
        </is>
      </c>
      <c r="B2145" s="1" t="n">
        <v>45314</v>
      </c>
      <c r="C2145" s="1" t="n">
        <v>45962</v>
      </c>
      <c r="D2145" t="inlineStr">
        <is>
          <t>SKÅNE LÄN</t>
        </is>
      </c>
      <c r="E2145" t="inlineStr">
        <is>
          <t>HÄSSLEHOLM</t>
        </is>
      </c>
      <c r="G2145" t="n">
        <v>11.3</v>
      </c>
      <c r="H2145" t="n">
        <v>0</v>
      </c>
      <c r="I2145" t="n">
        <v>0</v>
      </c>
      <c r="J2145" t="n">
        <v>0</v>
      </c>
      <c r="K2145" t="n">
        <v>0</v>
      </c>
      <c r="L2145" t="n">
        <v>0</v>
      </c>
      <c r="M2145" t="n">
        <v>0</v>
      </c>
      <c r="N2145" t="n">
        <v>0</v>
      </c>
      <c r="O2145" t="n">
        <v>0</v>
      </c>
      <c r="P2145" t="n">
        <v>0</v>
      </c>
      <c r="Q2145" t="n">
        <v>0</v>
      </c>
      <c r="R2145" s="2" t="inlineStr"/>
    </row>
    <row r="2146" ht="15" customHeight="1">
      <c r="A2146" t="inlineStr">
        <is>
          <t>A 61602-2023</t>
        </is>
      </c>
      <c r="B2146" s="1" t="n">
        <v>45265.50185185186</v>
      </c>
      <c r="C2146" s="1" t="n">
        <v>45962</v>
      </c>
      <c r="D2146" t="inlineStr">
        <is>
          <t>SKÅNE LÄN</t>
        </is>
      </c>
      <c r="E2146" t="inlineStr">
        <is>
          <t>OSBY</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15733-2024</t>
        </is>
      </c>
      <c r="B2147" s="1" t="n">
        <v>45404.5447337963</v>
      </c>
      <c r="C2147" s="1" t="n">
        <v>45962</v>
      </c>
      <c r="D2147" t="inlineStr">
        <is>
          <t>SKÅNE LÄN</t>
        </is>
      </c>
      <c r="E2147" t="inlineStr">
        <is>
          <t>OSBY</t>
        </is>
      </c>
      <c r="G2147" t="n">
        <v>4.8</v>
      </c>
      <c r="H2147" t="n">
        <v>0</v>
      </c>
      <c r="I2147" t="n">
        <v>0</v>
      </c>
      <c r="J2147" t="n">
        <v>0</v>
      </c>
      <c r="K2147" t="n">
        <v>0</v>
      </c>
      <c r="L2147" t="n">
        <v>0</v>
      </c>
      <c r="M2147" t="n">
        <v>0</v>
      </c>
      <c r="N2147" t="n">
        <v>0</v>
      </c>
      <c r="O2147" t="n">
        <v>0</v>
      </c>
      <c r="P2147" t="n">
        <v>0</v>
      </c>
      <c r="Q2147" t="n">
        <v>0</v>
      </c>
      <c r="R2147" s="2" t="inlineStr"/>
    </row>
    <row r="2148" ht="15" customHeight="1">
      <c r="A2148" t="inlineStr">
        <is>
          <t>A 56764-2024</t>
        </is>
      </c>
      <c r="B2148" s="1" t="n">
        <v>45628</v>
      </c>
      <c r="C2148" s="1" t="n">
        <v>45962</v>
      </c>
      <c r="D2148" t="inlineStr">
        <is>
          <t>SKÅNE LÄN</t>
        </is>
      </c>
      <c r="E2148" t="inlineStr">
        <is>
          <t>SIMRISHAMN</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14632-2024</t>
        </is>
      </c>
      <c r="B2149" s="1" t="n">
        <v>45397.34383101852</v>
      </c>
      <c r="C2149" s="1" t="n">
        <v>45962</v>
      </c>
      <c r="D2149" t="inlineStr">
        <is>
          <t>SKÅNE LÄN</t>
        </is>
      </c>
      <c r="E2149" t="inlineStr">
        <is>
          <t>PERSTORP</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6886-2024</t>
        </is>
      </c>
      <c r="B2150" s="1" t="n">
        <v>45342</v>
      </c>
      <c r="C2150" s="1" t="n">
        <v>45962</v>
      </c>
      <c r="D2150" t="inlineStr">
        <is>
          <t>SKÅNE LÄN</t>
        </is>
      </c>
      <c r="E2150" t="inlineStr">
        <is>
          <t>HÖRBY</t>
        </is>
      </c>
      <c r="F2150" t="inlineStr">
        <is>
          <t>Sveaskog</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36951-2023</t>
        </is>
      </c>
      <c r="B2151" s="1" t="n">
        <v>45154.89658564814</v>
      </c>
      <c r="C2151" s="1" t="n">
        <v>45962</v>
      </c>
      <c r="D2151" t="inlineStr">
        <is>
          <t>SKÅNE LÄN</t>
        </is>
      </c>
      <c r="E2151" t="inlineStr">
        <is>
          <t>OSBY</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37074-2024</t>
        </is>
      </c>
      <c r="B2152" s="1" t="n">
        <v>45539</v>
      </c>
      <c r="C2152" s="1" t="n">
        <v>45962</v>
      </c>
      <c r="D2152" t="inlineStr">
        <is>
          <t>SKÅNE LÄN</t>
        </is>
      </c>
      <c r="E2152" t="inlineStr">
        <is>
          <t>HÖÖR</t>
        </is>
      </c>
      <c r="G2152" t="n">
        <v>2.9</v>
      </c>
      <c r="H2152" t="n">
        <v>0</v>
      </c>
      <c r="I2152" t="n">
        <v>0</v>
      </c>
      <c r="J2152" t="n">
        <v>0</v>
      </c>
      <c r="K2152" t="n">
        <v>0</v>
      </c>
      <c r="L2152" t="n">
        <v>0</v>
      </c>
      <c r="M2152" t="n">
        <v>0</v>
      </c>
      <c r="N2152" t="n">
        <v>0</v>
      </c>
      <c r="O2152" t="n">
        <v>0</v>
      </c>
      <c r="P2152" t="n">
        <v>0</v>
      </c>
      <c r="Q2152" t="n">
        <v>0</v>
      </c>
      <c r="R2152" s="2" t="inlineStr"/>
    </row>
    <row r="2153" ht="15" customHeight="1">
      <c r="A2153" t="inlineStr">
        <is>
          <t>A 32834-2024</t>
        </is>
      </c>
      <c r="B2153" s="1" t="n">
        <v>45516.6025</v>
      </c>
      <c r="C2153" s="1" t="n">
        <v>45962</v>
      </c>
      <c r="D2153" t="inlineStr">
        <is>
          <t>SKÅNE LÄN</t>
        </is>
      </c>
      <c r="E2153" t="inlineStr">
        <is>
          <t>HÄSSLEHOLM</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12310-2023</t>
        </is>
      </c>
      <c r="B2154" s="1" t="n">
        <v>44999</v>
      </c>
      <c r="C2154" s="1" t="n">
        <v>45962</v>
      </c>
      <c r="D2154" t="inlineStr">
        <is>
          <t>SKÅNE LÄN</t>
        </is>
      </c>
      <c r="E2154" t="inlineStr">
        <is>
          <t>TOMELILLA</t>
        </is>
      </c>
      <c r="F2154" t="inlineStr">
        <is>
          <t>Sveaskog</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9397-2025</t>
        </is>
      </c>
      <c r="B2155" s="1" t="n">
        <v>45715.37361111111</v>
      </c>
      <c r="C2155" s="1" t="n">
        <v>45962</v>
      </c>
      <c r="D2155" t="inlineStr">
        <is>
          <t>SKÅNE LÄN</t>
        </is>
      </c>
      <c r="E2155" t="inlineStr">
        <is>
          <t>HÄSSLEHOLM</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59109-2023</t>
        </is>
      </c>
      <c r="B2156" s="1" t="n">
        <v>45253.30819444444</v>
      </c>
      <c r="C2156" s="1" t="n">
        <v>45962</v>
      </c>
      <c r="D2156" t="inlineStr">
        <is>
          <t>SKÅNE LÄN</t>
        </is>
      </c>
      <c r="E2156" t="inlineStr">
        <is>
          <t>HÄSSLEHOLM</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25899-2021</t>
        </is>
      </c>
      <c r="B2157" s="1" t="n">
        <v>44344</v>
      </c>
      <c r="C2157" s="1" t="n">
        <v>45962</v>
      </c>
      <c r="D2157" t="inlineStr">
        <is>
          <t>SKÅNE LÄN</t>
        </is>
      </c>
      <c r="E2157" t="inlineStr">
        <is>
          <t>TOMELILLA</t>
        </is>
      </c>
      <c r="F2157" t="inlineStr">
        <is>
          <t>Övriga Aktiebolag</t>
        </is>
      </c>
      <c r="G2157" t="n">
        <v>14.8</v>
      </c>
      <c r="H2157" t="n">
        <v>0</v>
      </c>
      <c r="I2157" t="n">
        <v>0</v>
      </c>
      <c r="J2157" t="n">
        <v>0</v>
      </c>
      <c r="K2157" t="n">
        <v>0</v>
      </c>
      <c r="L2157" t="n">
        <v>0</v>
      </c>
      <c r="M2157" t="n">
        <v>0</v>
      </c>
      <c r="N2157" t="n">
        <v>0</v>
      </c>
      <c r="O2157" t="n">
        <v>0</v>
      </c>
      <c r="P2157" t="n">
        <v>0</v>
      </c>
      <c r="Q2157" t="n">
        <v>0</v>
      </c>
      <c r="R2157" s="2" t="inlineStr"/>
    </row>
    <row r="2158" ht="15" customHeight="1">
      <c r="A2158" t="inlineStr">
        <is>
          <t>A 3452-2022</t>
        </is>
      </c>
      <c r="B2158" s="1" t="n">
        <v>44585.56990740741</v>
      </c>
      <c r="C2158" s="1" t="n">
        <v>45962</v>
      </c>
      <c r="D2158" t="inlineStr">
        <is>
          <t>SKÅNE LÄN</t>
        </is>
      </c>
      <c r="E2158" t="inlineStr">
        <is>
          <t>OSBY</t>
        </is>
      </c>
      <c r="F2158" t="inlineStr">
        <is>
          <t>Sveaskog</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10971-2023</t>
        </is>
      </c>
      <c r="B2159" s="1" t="n">
        <v>44991</v>
      </c>
      <c r="C2159" s="1" t="n">
        <v>45962</v>
      </c>
      <c r="D2159" t="inlineStr">
        <is>
          <t>SKÅNE LÄN</t>
        </is>
      </c>
      <c r="E2159" t="inlineStr">
        <is>
          <t>KRISTIANSTAD</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51301-2024</t>
        </is>
      </c>
      <c r="B2160" s="1" t="n">
        <v>45604.28789351852</v>
      </c>
      <c r="C2160" s="1" t="n">
        <v>45962</v>
      </c>
      <c r="D2160" t="inlineStr">
        <is>
          <t>SKÅNE LÄN</t>
        </is>
      </c>
      <c r="E2160" t="inlineStr">
        <is>
          <t>HÖÖR</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49384-2021</t>
        </is>
      </c>
      <c r="B2161" s="1" t="n">
        <v>44454</v>
      </c>
      <c r="C2161" s="1" t="n">
        <v>45962</v>
      </c>
      <c r="D2161" t="inlineStr">
        <is>
          <t>SKÅNE LÄN</t>
        </is>
      </c>
      <c r="E2161" t="inlineStr">
        <is>
          <t>HÄSSLEHOLM</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22330-2024</t>
        </is>
      </c>
      <c r="B2162" s="1" t="n">
        <v>45446</v>
      </c>
      <c r="C2162" s="1" t="n">
        <v>45962</v>
      </c>
      <c r="D2162" t="inlineStr">
        <is>
          <t>SKÅNE LÄN</t>
        </is>
      </c>
      <c r="E2162" t="inlineStr">
        <is>
          <t>SJÖBO</t>
        </is>
      </c>
      <c r="G2162" t="n">
        <v>4.4</v>
      </c>
      <c r="H2162" t="n">
        <v>0</v>
      </c>
      <c r="I2162" t="n">
        <v>0</v>
      </c>
      <c r="J2162" t="n">
        <v>0</v>
      </c>
      <c r="K2162" t="n">
        <v>0</v>
      </c>
      <c r="L2162" t="n">
        <v>0</v>
      </c>
      <c r="M2162" t="n">
        <v>0</v>
      </c>
      <c r="N2162" t="n">
        <v>0</v>
      </c>
      <c r="O2162" t="n">
        <v>0</v>
      </c>
      <c r="P2162" t="n">
        <v>0</v>
      </c>
      <c r="Q2162" t="n">
        <v>0</v>
      </c>
      <c r="R2162" s="2" t="inlineStr"/>
    </row>
    <row r="2163" ht="15" customHeight="1">
      <c r="A2163" t="inlineStr">
        <is>
          <t>A 54462-2022</t>
        </is>
      </c>
      <c r="B2163" s="1" t="n">
        <v>44882</v>
      </c>
      <c r="C2163" s="1" t="n">
        <v>45962</v>
      </c>
      <c r="D2163" t="inlineStr">
        <is>
          <t>SKÅNE LÄN</t>
        </is>
      </c>
      <c r="E2163" t="inlineStr">
        <is>
          <t>HÄSSLEHOLM</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60600-2022</t>
        </is>
      </c>
      <c r="B2164" s="1" t="n">
        <v>44911.6057175926</v>
      </c>
      <c r="C2164" s="1" t="n">
        <v>45962</v>
      </c>
      <c r="D2164" t="inlineStr">
        <is>
          <t>SKÅNE LÄN</t>
        </is>
      </c>
      <c r="E2164" t="inlineStr">
        <is>
          <t>OSBY</t>
        </is>
      </c>
      <c r="G2164" t="n">
        <v>15.4</v>
      </c>
      <c r="H2164" t="n">
        <v>0</v>
      </c>
      <c r="I2164" t="n">
        <v>0</v>
      </c>
      <c r="J2164" t="n">
        <v>0</v>
      </c>
      <c r="K2164" t="n">
        <v>0</v>
      </c>
      <c r="L2164" t="n">
        <v>0</v>
      </c>
      <c r="M2164" t="n">
        <v>0</v>
      </c>
      <c r="N2164" t="n">
        <v>0</v>
      </c>
      <c r="O2164" t="n">
        <v>0</v>
      </c>
      <c r="P2164" t="n">
        <v>0</v>
      </c>
      <c r="Q2164" t="n">
        <v>0</v>
      </c>
      <c r="R2164" s="2" t="inlineStr"/>
    </row>
    <row r="2165" ht="15" customHeight="1">
      <c r="A2165" t="inlineStr">
        <is>
          <t>A 25611-2024</t>
        </is>
      </c>
      <c r="B2165" s="1" t="n">
        <v>45463</v>
      </c>
      <c r="C2165" s="1" t="n">
        <v>45962</v>
      </c>
      <c r="D2165" t="inlineStr">
        <is>
          <t>SKÅNE LÄN</t>
        </is>
      </c>
      <c r="E2165" t="inlineStr">
        <is>
          <t>HÄSSLEHOLM</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50922-2021</t>
        </is>
      </c>
      <c r="B2166" s="1" t="n">
        <v>44459</v>
      </c>
      <c r="C2166" s="1" t="n">
        <v>45962</v>
      </c>
      <c r="D2166" t="inlineStr">
        <is>
          <t>SKÅNE LÄN</t>
        </is>
      </c>
      <c r="E2166" t="inlineStr">
        <is>
          <t>ÖSTRA GÖINGE</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56986-2024</t>
        </is>
      </c>
      <c r="B2167" s="1" t="n">
        <v>45626</v>
      </c>
      <c r="C2167" s="1" t="n">
        <v>45962</v>
      </c>
      <c r="D2167" t="inlineStr">
        <is>
          <t>SKÅNE LÄN</t>
        </is>
      </c>
      <c r="E2167" t="inlineStr">
        <is>
          <t>HÄSSLEHOLM</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743-2024</t>
        </is>
      </c>
      <c r="B2168" s="1" t="n">
        <v>45300</v>
      </c>
      <c r="C2168" s="1" t="n">
        <v>45962</v>
      </c>
      <c r="D2168" t="inlineStr">
        <is>
          <t>SKÅNE LÄN</t>
        </is>
      </c>
      <c r="E2168" t="inlineStr">
        <is>
          <t>TOMELILLA</t>
        </is>
      </c>
      <c r="F2168" t="inlineStr">
        <is>
          <t>Övriga Aktiebolag</t>
        </is>
      </c>
      <c r="G2168" t="n">
        <v>11.1</v>
      </c>
      <c r="H2168" t="n">
        <v>0</v>
      </c>
      <c r="I2168" t="n">
        <v>0</v>
      </c>
      <c r="J2168" t="n">
        <v>0</v>
      </c>
      <c r="K2168" t="n">
        <v>0</v>
      </c>
      <c r="L2168" t="n">
        <v>0</v>
      </c>
      <c r="M2168" t="n">
        <v>0</v>
      </c>
      <c r="N2168" t="n">
        <v>0</v>
      </c>
      <c r="O2168" t="n">
        <v>0</v>
      </c>
      <c r="P2168" t="n">
        <v>0</v>
      </c>
      <c r="Q2168" t="n">
        <v>0</v>
      </c>
      <c r="R2168" s="2" t="inlineStr"/>
    </row>
    <row r="2169" ht="15" customHeight="1">
      <c r="A2169" t="inlineStr">
        <is>
          <t>A 7094-2023</t>
        </is>
      </c>
      <c r="B2169" s="1" t="n">
        <v>44970.36958333333</v>
      </c>
      <c r="C2169" s="1" t="n">
        <v>45962</v>
      </c>
      <c r="D2169" t="inlineStr">
        <is>
          <t>SKÅNE LÄN</t>
        </is>
      </c>
      <c r="E2169" t="inlineStr">
        <is>
          <t>HÄSSLEHOLM</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59625-2022</t>
        </is>
      </c>
      <c r="B2170" s="1" t="n">
        <v>44907</v>
      </c>
      <c r="C2170" s="1" t="n">
        <v>45962</v>
      </c>
      <c r="D2170" t="inlineStr">
        <is>
          <t>SKÅNE LÄN</t>
        </is>
      </c>
      <c r="E2170" t="inlineStr">
        <is>
          <t>KRISTIANSTAD</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59030-2024</t>
        </is>
      </c>
      <c r="B2171" s="1" t="n">
        <v>45636.68916666666</v>
      </c>
      <c r="C2171" s="1" t="n">
        <v>45962</v>
      </c>
      <c r="D2171" t="inlineStr">
        <is>
          <t>SKÅNE LÄN</t>
        </is>
      </c>
      <c r="E2171" t="inlineStr">
        <is>
          <t>HÄSSLEHOLM</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46222-2022</t>
        </is>
      </c>
      <c r="B2172" s="1" t="n">
        <v>44847.58725694445</v>
      </c>
      <c r="C2172" s="1" t="n">
        <v>45962</v>
      </c>
      <c r="D2172" t="inlineStr">
        <is>
          <t>SKÅNE LÄN</t>
        </is>
      </c>
      <c r="E2172" t="inlineStr">
        <is>
          <t>HÄSSLEHOLM</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31789-2023</t>
        </is>
      </c>
      <c r="B2173" s="1" t="n">
        <v>45118</v>
      </c>
      <c r="C2173" s="1" t="n">
        <v>45962</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2567-2024</t>
        </is>
      </c>
      <c r="B2174" s="1" t="n">
        <v>45313.62460648148</v>
      </c>
      <c r="C2174" s="1" t="n">
        <v>45962</v>
      </c>
      <c r="D2174" t="inlineStr">
        <is>
          <t>SKÅNE LÄN</t>
        </is>
      </c>
      <c r="E2174" t="inlineStr">
        <is>
          <t>HÄSSLEHOLM</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32100-2024</t>
        </is>
      </c>
      <c r="B2175" s="1" t="n">
        <v>45511.41451388889</v>
      </c>
      <c r="C2175" s="1" t="n">
        <v>45962</v>
      </c>
      <c r="D2175" t="inlineStr">
        <is>
          <t>SKÅNE LÄN</t>
        </is>
      </c>
      <c r="E2175" t="inlineStr">
        <is>
          <t>HÄSSLEHOLM</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2575-2024</t>
        </is>
      </c>
      <c r="B2176" s="1" t="n">
        <v>45313.63804398148</v>
      </c>
      <c r="C2176" s="1" t="n">
        <v>45962</v>
      </c>
      <c r="D2176" t="inlineStr">
        <is>
          <t>SKÅNE LÄN</t>
        </is>
      </c>
      <c r="E2176" t="inlineStr">
        <is>
          <t>ÄNGELHOLM</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48663-2024</t>
        </is>
      </c>
      <c r="B2177" s="1" t="n">
        <v>45593.48892361111</v>
      </c>
      <c r="C2177" s="1" t="n">
        <v>45962</v>
      </c>
      <c r="D2177" t="inlineStr">
        <is>
          <t>SKÅNE LÄN</t>
        </is>
      </c>
      <c r="E2177" t="inlineStr">
        <is>
          <t>HÄSSLEHOLM</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57391-2024</t>
        </is>
      </c>
      <c r="B2178" s="1" t="n">
        <v>45629.68717592592</v>
      </c>
      <c r="C2178" s="1" t="n">
        <v>45962</v>
      </c>
      <c r="D2178" t="inlineStr">
        <is>
          <t>SKÅNE LÄN</t>
        </is>
      </c>
      <c r="E2178" t="inlineStr">
        <is>
          <t>BJUV</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1644-2025</t>
        </is>
      </c>
      <c r="B2179" s="1" t="n">
        <v>45670</v>
      </c>
      <c r="C2179" s="1" t="n">
        <v>45962</v>
      </c>
      <c r="D2179" t="inlineStr">
        <is>
          <t>SKÅNE LÄN</t>
        </is>
      </c>
      <c r="E2179" t="inlineStr">
        <is>
          <t>ÄNGELHOLM</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10209-2023</t>
        </is>
      </c>
      <c r="B2180" s="1" t="n">
        <v>44986</v>
      </c>
      <c r="C2180" s="1" t="n">
        <v>45962</v>
      </c>
      <c r="D2180" t="inlineStr">
        <is>
          <t>SKÅNE LÄN</t>
        </is>
      </c>
      <c r="E2180" t="inlineStr">
        <is>
          <t>SVALÖV</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10220-2023</t>
        </is>
      </c>
      <c r="B2181" s="1" t="n">
        <v>44986.60916666667</v>
      </c>
      <c r="C2181" s="1" t="n">
        <v>45962</v>
      </c>
      <c r="D2181" t="inlineStr">
        <is>
          <t>SKÅNE LÄN</t>
        </is>
      </c>
      <c r="E2181" t="inlineStr">
        <is>
          <t>HÄSSLEHOLM</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57923-2024</t>
        </is>
      </c>
      <c r="B2182" s="1" t="n">
        <v>45631</v>
      </c>
      <c r="C2182" s="1" t="n">
        <v>45962</v>
      </c>
      <c r="D2182" t="inlineStr">
        <is>
          <t>SKÅNE LÄN</t>
        </is>
      </c>
      <c r="E2182" t="inlineStr">
        <is>
          <t>ÄNGELHOLM</t>
        </is>
      </c>
      <c r="G2182" t="n">
        <v>4.5</v>
      </c>
      <c r="H2182" t="n">
        <v>0</v>
      </c>
      <c r="I2182" t="n">
        <v>0</v>
      </c>
      <c r="J2182" t="n">
        <v>0</v>
      </c>
      <c r="K2182" t="n">
        <v>0</v>
      </c>
      <c r="L2182" t="n">
        <v>0</v>
      </c>
      <c r="M2182" t="n">
        <v>0</v>
      </c>
      <c r="N2182" t="n">
        <v>0</v>
      </c>
      <c r="O2182" t="n">
        <v>0</v>
      </c>
      <c r="P2182" t="n">
        <v>0</v>
      </c>
      <c r="Q2182" t="n">
        <v>0</v>
      </c>
      <c r="R2182" s="2" t="inlineStr"/>
    </row>
    <row r="2183" ht="15" customHeight="1">
      <c r="A2183" t="inlineStr">
        <is>
          <t>A 5262-2022</t>
        </is>
      </c>
      <c r="B2183" s="1" t="n">
        <v>44594.57376157407</v>
      </c>
      <c r="C2183" s="1" t="n">
        <v>45962</v>
      </c>
      <c r="D2183" t="inlineStr">
        <is>
          <t>SKÅNE LÄN</t>
        </is>
      </c>
      <c r="E2183" t="inlineStr">
        <is>
          <t>OSBY</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65073-2023</t>
        </is>
      </c>
      <c r="B2184" s="1" t="n">
        <v>45287</v>
      </c>
      <c r="C2184" s="1" t="n">
        <v>45962</v>
      </c>
      <c r="D2184" t="inlineStr">
        <is>
          <t>SKÅNE LÄN</t>
        </is>
      </c>
      <c r="E2184" t="inlineStr">
        <is>
          <t>HÖRBY</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17316-2024</t>
        </is>
      </c>
      <c r="B2185" s="1" t="n">
        <v>45414</v>
      </c>
      <c r="C2185" s="1" t="n">
        <v>45962</v>
      </c>
      <c r="D2185" t="inlineStr">
        <is>
          <t>SKÅNE LÄN</t>
        </is>
      </c>
      <c r="E2185" t="inlineStr">
        <is>
          <t>TOMELILLA</t>
        </is>
      </c>
      <c r="F2185" t="inlineStr">
        <is>
          <t>Övriga Aktiebolag</t>
        </is>
      </c>
      <c r="G2185" t="n">
        <v>4.3</v>
      </c>
      <c r="H2185" t="n">
        <v>0</v>
      </c>
      <c r="I2185" t="n">
        <v>0</v>
      </c>
      <c r="J2185" t="n">
        <v>0</v>
      </c>
      <c r="K2185" t="n">
        <v>0</v>
      </c>
      <c r="L2185" t="n">
        <v>0</v>
      </c>
      <c r="M2185" t="n">
        <v>0</v>
      </c>
      <c r="N2185" t="n">
        <v>0</v>
      </c>
      <c r="O2185" t="n">
        <v>0</v>
      </c>
      <c r="P2185" t="n">
        <v>0</v>
      </c>
      <c r="Q2185" t="n">
        <v>0</v>
      </c>
      <c r="R2185" s="2" t="inlineStr"/>
    </row>
    <row r="2186" ht="15" customHeight="1">
      <c r="A2186" t="inlineStr">
        <is>
          <t>A 1318-2021</t>
        </is>
      </c>
      <c r="B2186" s="1" t="n">
        <v>44208</v>
      </c>
      <c r="C2186" s="1" t="n">
        <v>45962</v>
      </c>
      <c r="D2186" t="inlineStr">
        <is>
          <t>SKÅNE LÄN</t>
        </is>
      </c>
      <c r="E2186" t="inlineStr">
        <is>
          <t>OSBY</t>
        </is>
      </c>
      <c r="F2186" t="inlineStr">
        <is>
          <t>Sveaskog</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35810-2023</t>
        </is>
      </c>
      <c r="B2187" s="1" t="n">
        <v>45148.44046296296</v>
      </c>
      <c r="C2187" s="1" t="n">
        <v>45962</v>
      </c>
      <c r="D2187" t="inlineStr">
        <is>
          <t>SKÅNE LÄN</t>
        </is>
      </c>
      <c r="E2187" t="inlineStr">
        <is>
          <t>HÄSSLEHOLM</t>
        </is>
      </c>
      <c r="G2187" t="n">
        <v>1.2</v>
      </c>
      <c r="H2187" t="n">
        <v>0</v>
      </c>
      <c r="I2187" t="n">
        <v>0</v>
      </c>
      <c r="J2187" t="n">
        <v>0</v>
      </c>
      <c r="K2187" t="n">
        <v>0</v>
      </c>
      <c r="L2187" t="n">
        <v>0</v>
      </c>
      <c r="M2187" t="n">
        <v>0</v>
      </c>
      <c r="N2187" t="n">
        <v>0</v>
      </c>
      <c r="O2187" t="n">
        <v>0</v>
      </c>
      <c r="P2187" t="n">
        <v>0</v>
      </c>
      <c r="Q2187" t="n">
        <v>0</v>
      </c>
      <c r="R2187" s="2" t="inlineStr"/>
    </row>
    <row r="2188" ht="15" customHeight="1">
      <c r="A2188" t="inlineStr">
        <is>
          <t>A 11260-2021</t>
        </is>
      </c>
      <c r="B2188" s="1" t="n">
        <v>44263</v>
      </c>
      <c r="C2188" s="1" t="n">
        <v>45962</v>
      </c>
      <c r="D2188" t="inlineStr">
        <is>
          <t>SKÅNE LÄN</t>
        </is>
      </c>
      <c r="E2188" t="inlineStr">
        <is>
          <t>HÄSSLEHOLM</t>
        </is>
      </c>
      <c r="G2188" t="n">
        <v>5.4</v>
      </c>
      <c r="H2188" t="n">
        <v>0</v>
      </c>
      <c r="I2188" t="n">
        <v>0</v>
      </c>
      <c r="J2188" t="n">
        <v>0</v>
      </c>
      <c r="K2188" t="n">
        <v>0</v>
      </c>
      <c r="L2188" t="n">
        <v>0</v>
      </c>
      <c r="M2188" t="n">
        <v>0</v>
      </c>
      <c r="N2188" t="n">
        <v>0</v>
      </c>
      <c r="O2188" t="n">
        <v>0</v>
      </c>
      <c r="P2188" t="n">
        <v>0</v>
      </c>
      <c r="Q2188" t="n">
        <v>0</v>
      </c>
      <c r="R2188" s="2" t="inlineStr"/>
    </row>
    <row r="2189" ht="15" customHeight="1">
      <c r="A2189" t="inlineStr">
        <is>
          <t>A 4044-2021</t>
        </is>
      </c>
      <c r="B2189" s="1" t="n">
        <v>44222</v>
      </c>
      <c r="C2189" s="1" t="n">
        <v>45962</v>
      </c>
      <c r="D2189" t="inlineStr">
        <is>
          <t>SKÅNE LÄN</t>
        </is>
      </c>
      <c r="E2189" t="inlineStr">
        <is>
          <t>HÖRBY</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35833-2023</t>
        </is>
      </c>
      <c r="B2190" s="1" t="n">
        <v>45148</v>
      </c>
      <c r="C2190" s="1" t="n">
        <v>45962</v>
      </c>
      <c r="D2190" t="inlineStr">
        <is>
          <t>SKÅNE LÄN</t>
        </is>
      </c>
      <c r="E2190" t="inlineStr">
        <is>
          <t>HÄSSLEHOLM</t>
        </is>
      </c>
      <c r="F2190" t="inlineStr">
        <is>
          <t>Kommuner</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10377-2021</t>
        </is>
      </c>
      <c r="B2191" s="1" t="n">
        <v>44257</v>
      </c>
      <c r="C2191" s="1" t="n">
        <v>45962</v>
      </c>
      <c r="D2191" t="inlineStr">
        <is>
          <t>SKÅNE LÄN</t>
        </is>
      </c>
      <c r="E2191" t="inlineStr">
        <is>
          <t>ÄNGELHOLM</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11638-2025</t>
        </is>
      </c>
      <c r="B2192" s="1" t="n">
        <v>45727.46866898148</v>
      </c>
      <c r="C2192" s="1" t="n">
        <v>45962</v>
      </c>
      <c r="D2192" t="inlineStr">
        <is>
          <t>SKÅNE LÄN</t>
        </is>
      </c>
      <c r="E2192" t="inlineStr">
        <is>
          <t>ÖSTRA GÖINGE</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59556-2023</t>
        </is>
      </c>
      <c r="B2193" s="1" t="n">
        <v>45254.56313657408</v>
      </c>
      <c r="C2193" s="1" t="n">
        <v>45962</v>
      </c>
      <c r="D2193" t="inlineStr">
        <is>
          <t>SKÅNE LÄN</t>
        </is>
      </c>
      <c r="E2193" t="inlineStr">
        <is>
          <t>HÄSSLEHOLM</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7153-2025</t>
        </is>
      </c>
      <c r="B2194" s="1" t="n">
        <v>45702.38512731482</v>
      </c>
      <c r="C2194" s="1" t="n">
        <v>45962</v>
      </c>
      <c r="D2194" t="inlineStr">
        <is>
          <t>SKÅNE LÄN</t>
        </is>
      </c>
      <c r="E2194" t="inlineStr">
        <is>
          <t>HÄSSLEHOLM</t>
        </is>
      </c>
      <c r="G2194" t="n">
        <v>2.7</v>
      </c>
      <c r="H2194" t="n">
        <v>0</v>
      </c>
      <c r="I2194" t="n">
        <v>0</v>
      </c>
      <c r="J2194" t="n">
        <v>0</v>
      </c>
      <c r="K2194" t="n">
        <v>0</v>
      </c>
      <c r="L2194" t="n">
        <v>0</v>
      </c>
      <c r="M2194" t="n">
        <v>0</v>
      </c>
      <c r="N2194" t="n">
        <v>0</v>
      </c>
      <c r="O2194" t="n">
        <v>0</v>
      </c>
      <c r="P2194" t="n">
        <v>0</v>
      </c>
      <c r="Q2194" t="n">
        <v>0</v>
      </c>
      <c r="R2194" s="2" t="inlineStr"/>
    </row>
    <row r="2195" ht="15" customHeight="1">
      <c r="A2195" t="inlineStr">
        <is>
          <t>A 28632-2024</t>
        </is>
      </c>
      <c r="B2195" s="1" t="n">
        <v>45478</v>
      </c>
      <c r="C2195" s="1" t="n">
        <v>45962</v>
      </c>
      <c r="D2195" t="inlineStr">
        <is>
          <t>SKÅNE LÄN</t>
        </is>
      </c>
      <c r="E2195" t="inlineStr">
        <is>
          <t>HÄSSLEHOLM</t>
        </is>
      </c>
      <c r="G2195" t="n">
        <v>4</v>
      </c>
      <c r="H2195" t="n">
        <v>0</v>
      </c>
      <c r="I2195" t="n">
        <v>0</v>
      </c>
      <c r="J2195" t="n">
        <v>0</v>
      </c>
      <c r="K2195" t="n">
        <v>0</v>
      </c>
      <c r="L2195" t="n">
        <v>0</v>
      </c>
      <c r="M2195" t="n">
        <v>0</v>
      </c>
      <c r="N2195" t="n">
        <v>0</v>
      </c>
      <c r="O2195" t="n">
        <v>0</v>
      </c>
      <c r="P2195" t="n">
        <v>0</v>
      </c>
      <c r="Q2195" t="n">
        <v>0</v>
      </c>
      <c r="R2195" s="2" t="inlineStr"/>
    </row>
    <row r="2196" ht="15" customHeight="1">
      <c r="A2196" t="inlineStr">
        <is>
          <t>A 28654-2024</t>
        </is>
      </c>
      <c r="B2196" s="1" t="n">
        <v>45478</v>
      </c>
      <c r="C2196" s="1" t="n">
        <v>45962</v>
      </c>
      <c r="D2196" t="inlineStr">
        <is>
          <t>SKÅNE LÄN</t>
        </is>
      </c>
      <c r="E2196" t="inlineStr">
        <is>
          <t>KRISTIANSTAD</t>
        </is>
      </c>
      <c r="G2196" t="n">
        <v>2.1</v>
      </c>
      <c r="H2196" t="n">
        <v>0</v>
      </c>
      <c r="I2196" t="n">
        <v>0</v>
      </c>
      <c r="J2196" t="n">
        <v>0</v>
      </c>
      <c r="K2196" t="n">
        <v>0</v>
      </c>
      <c r="L2196" t="n">
        <v>0</v>
      </c>
      <c r="M2196" t="n">
        <v>0</v>
      </c>
      <c r="N2196" t="n">
        <v>0</v>
      </c>
      <c r="O2196" t="n">
        <v>0</v>
      </c>
      <c r="P2196" t="n">
        <v>0</v>
      </c>
      <c r="Q2196" t="n">
        <v>0</v>
      </c>
      <c r="R2196" s="2" t="inlineStr"/>
    </row>
    <row r="2197" ht="15" customHeight="1">
      <c r="A2197" t="inlineStr">
        <is>
          <t>A 6006-2024</t>
        </is>
      </c>
      <c r="B2197" s="1" t="n">
        <v>45336</v>
      </c>
      <c r="C2197" s="1" t="n">
        <v>45962</v>
      </c>
      <c r="D2197" t="inlineStr">
        <is>
          <t>SKÅNE LÄN</t>
        </is>
      </c>
      <c r="E2197" t="inlineStr">
        <is>
          <t>SIMRISHAMN</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69041-2021</t>
        </is>
      </c>
      <c r="B2198" s="1" t="n">
        <v>44529</v>
      </c>
      <c r="C2198" s="1" t="n">
        <v>45962</v>
      </c>
      <c r="D2198" t="inlineStr">
        <is>
          <t>SKÅNE LÄN</t>
        </is>
      </c>
      <c r="E2198" t="inlineStr">
        <is>
          <t>KLIPPAN</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42050-2023</t>
        </is>
      </c>
      <c r="B2199" s="1" t="n">
        <v>45177</v>
      </c>
      <c r="C2199" s="1" t="n">
        <v>45962</v>
      </c>
      <c r="D2199" t="inlineStr">
        <is>
          <t>SKÅNE LÄN</t>
        </is>
      </c>
      <c r="E2199" t="inlineStr">
        <is>
          <t>ESLÖV</t>
        </is>
      </c>
      <c r="G2199" t="n">
        <v>10.3</v>
      </c>
      <c r="H2199" t="n">
        <v>0</v>
      </c>
      <c r="I2199" t="n">
        <v>0</v>
      </c>
      <c r="J2199" t="n">
        <v>0</v>
      </c>
      <c r="K2199" t="n">
        <v>0</v>
      </c>
      <c r="L2199" t="n">
        <v>0</v>
      </c>
      <c r="M2199" t="n">
        <v>0</v>
      </c>
      <c r="N2199" t="n">
        <v>0</v>
      </c>
      <c r="O2199" t="n">
        <v>0</v>
      </c>
      <c r="P2199" t="n">
        <v>0</v>
      </c>
      <c r="Q2199" t="n">
        <v>0</v>
      </c>
      <c r="R2199" s="2" t="inlineStr"/>
    </row>
    <row r="2200" ht="15" customHeight="1">
      <c r="A2200" t="inlineStr">
        <is>
          <t>A 7043-2024</t>
        </is>
      </c>
      <c r="B2200" s="1" t="n">
        <v>45343</v>
      </c>
      <c r="C2200" s="1" t="n">
        <v>45962</v>
      </c>
      <c r="D2200" t="inlineStr">
        <is>
          <t>SKÅNE LÄN</t>
        </is>
      </c>
      <c r="E2200" t="inlineStr">
        <is>
          <t>KRISTIANSTAD</t>
        </is>
      </c>
      <c r="F2200" t="inlineStr">
        <is>
          <t>Sveaskog</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53077-2022</t>
        </is>
      </c>
      <c r="B2201" s="1" t="n">
        <v>44873</v>
      </c>
      <c r="C2201" s="1" t="n">
        <v>45962</v>
      </c>
      <c r="D2201" t="inlineStr">
        <is>
          <t>SKÅNE LÄN</t>
        </is>
      </c>
      <c r="E2201" t="inlineStr">
        <is>
          <t>HÄSSLEHOLM</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3940-2024</t>
        </is>
      </c>
      <c r="B2202" s="1" t="n">
        <v>45322</v>
      </c>
      <c r="C2202" s="1" t="n">
        <v>45962</v>
      </c>
      <c r="D2202" t="inlineStr">
        <is>
          <t>SKÅNE LÄN</t>
        </is>
      </c>
      <c r="E2202" t="inlineStr">
        <is>
          <t>HÖÖR</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63681-2023</t>
        </is>
      </c>
      <c r="B2203" s="1" t="n">
        <v>45275.6518287037</v>
      </c>
      <c r="C2203" s="1" t="n">
        <v>45962</v>
      </c>
      <c r="D2203" t="inlineStr">
        <is>
          <t>SKÅNE LÄN</t>
        </is>
      </c>
      <c r="E2203" t="inlineStr">
        <is>
          <t>KRISTIANSTAD</t>
        </is>
      </c>
      <c r="F2203" t="inlineStr">
        <is>
          <t>Sveaskog</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54580-2023</t>
        </is>
      </c>
      <c r="B2204" s="1" t="n">
        <v>45233</v>
      </c>
      <c r="C2204" s="1" t="n">
        <v>45962</v>
      </c>
      <c r="D2204" t="inlineStr">
        <is>
          <t>SKÅNE LÄN</t>
        </is>
      </c>
      <c r="E2204" t="inlineStr">
        <is>
          <t>SVEDALA</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308-2023</t>
        </is>
      </c>
      <c r="B2205" s="1" t="n">
        <v>44929</v>
      </c>
      <c r="C2205" s="1" t="n">
        <v>45962</v>
      </c>
      <c r="D2205" t="inlineStr">
        <is>
          <t>SKÅNE LÄN</t>
        </is>
      </c>
      <c r="E2205" t="inlineStr">
        <is>
          <t>ÄNGELHOLM</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12600-2025</t>
        </is>
      </c>
      <c r="B2206" s="1" t="n">
        <v>45733</v>
      </c>
      <c r="C2206" s="1" t="n">
        <v>45962</v>
      </c>
      <c r="D2206" t="inlineStr">
        <is>
          <t>SKÅNE LÄN</t>
        </is>
      </c>
      <c r="E2206" t="inlineStr">
        <is>
          <t>OSBY</t>
        </is>
      </c>
      <c r="F2206" t="inlineStr">
        <is>
          <t>Sveaskog</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12604-2025</t>
        </is>
      </c>
      <c r="B2207" s="1" t="n">
        <v>45733</v>
      </c>
      <c r="C2207" s="1" t="n">
        <v>45962</v>
      </c>
      <c r="D2207" t="inlineStr">
        <is>
          <t>SKÅNE LÄN</t>
        </is>
      </c>
      <c r="E2207" t="inlineStr">
        <is>
          <t>OSBY</t>
        </is>
      </c>
      <c r="F2207" t="inlineStr">
        <is>
          <t>Sveaskog</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18743-2025</t>
        </is>
      </c>
      <c r="B2208" s="1" t="n">
        <v>45763.74811342593</v>
      </c>
      <c r="C2208" s="1" t="n">
        <v>45962</v>
      </c>
      <c r="D2208" t="inlineStr">
        <is>
          <t>SKÅNE LÄN</t>
        </is>
      </c>
      <c r="E2208" t="inlineStr">
        <is>
          <t>KRISTIANSTAD</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11708-2025</t>
        </is>
      </c>
      <c r="B2209" s="1" t="n">
        <v>45727.58626157408</v>
      </c>
      <c r="C2209" s="1" t="n">
        <v>45962</v>
      </c>
      <c r="D2209" t="inlineStr">
        <is>
          <t>SKÅNE LÄN</t>
        </is>
      </c>
      <c r="E2209" t="inlineStr">
        <is>
          <t>HÄSSLEHOLM</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62783-2023</t>
        </is>
      </c>
      <c r="B2210" s="1" t="n">
        <v>45271.67439814815</v>
      </c>
      <c r="C2210" s="1" t="n">
        <v>45962</v>
      </c>
      <c r="D2210" t="inlineStr">
        <is>
          <t>SKÅNE LÄN</t>
        </is>
      </c>
      <c r="E2210" t="inlineStr">
        <is>
          <t>ÖSTRA GÖINGE</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14473-2024</t>
        </is>
      </c>
      <c r="B2211" s="1" t="n">
        <v>45394</v>
      </c>
      <c r="C2211" s="1" t="n">
        <v>45962</v>
      </c>
      <c r="D2211" t="inlineStr">
        <is>
          <t>SKÅNE LÄN</t>
        </is>
      </c>
      <c r="E2211" t="inlineStr">
        <is>
          <t>PERSTORP</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14488-2024</t>
        </is>
      </c>
      <c r="B2212" s="1" t="n">
        <v>45394</v>
      </c>
      <c r="C2212" s="1" t="n">
        <v>45962</v>
      </c>
      <c r="D2212" t="inlineStr">
        <is>
          <t>SKÅNE LÄN</t>
        </is>
      </c>
      <c r="E2212" t="inlineStr">
        <is>
          <t>ESLÖV</t>
        </is>
      </c>
      <c r="F2212" t="inlineStr">
        <is>
          <t>Sveaskog</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32013-2023</t>
        </is>
      </c>
      <c r="B2213" s="1" t="n">
        <v>45119</v>
      </c>
      <c r="C2213" s="1" t="n">
        <v>45962</v>
      </c>
      <c r="D2213" t="inlineStr">
        <is>
          <t>SKÅNE LÄN</t>
        </is>
      </c>
      <c r="E2213" t="inlineStr">
        <is>
          <t>KRISTIANSTAD</t>
        </is>
      </c>
      <c r="G2213" t="n">
        <v>7.2</v>
      </c>
      <c r="H2213" t="n">
        <v>0</v>
      </c>
      <c r="I2213" t="n">
        <v>0</v>
      </c>
      <c r="J2213" t="n">
        <v>0</v>
      </c>
      <c r="K2213" t="n">
        <v>0</v>
      </c>
      <c r="L2213" t="n">
        <v>0</v>
      </c>
      <c r="M2213" t="n">
        <v>0</v>
      </c>
      <c r="N2213" t="n">
        <v>0</v>
      </c>
      <c r="O2213" t="n">
        <v>0</v>
      </c>
      <c r="P2213" t="n">
        <v>0</v>
      </c>
      <c r="Q2213" t="n">
        <v>0</v>
      </c>
      <c r="R2213" s="2" t="inlineStr"/>
    </row>
    <row r="2214" ht="15" customHeight="1">
      <c r="A2214" t="inlineStr">
        <is>
          <t>A 47591-2023</t>
        </is>
      </c>
      <c r="B2214" s="1" t="n">
        <v>45203.44438657408</v>
      </c>
      <c r="C2214" s="1" t="n">
        <v>45962</v>
      </c>
      <c r="D2214" t="inlineStr">
        <is>
          <t>SKÅNE LÄN</t>
        </is>
      </c>
      <c r="E2214" t="inlineStr">
        <is>
          <t>ÖSTRA GÖINGE</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54798-2023</t>
        </is>
      </c>
      <c r="B2215" s="1" t="n">
        <v>45236.49951388889</v>
      </c>
      <c r="C2215" s="1" t="n">
        <v>45962</v>
      </c>
      <c r="D2215" t="inlineStr">
        <is>
          <t>SKÅNE LÄN</t>
        </is>
      </c>
      <c r="E2215" t="inlineStr">
        <is>
          <t>HÖÖR</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1068-2025</t>
        </is>
      </c>
      <c r="B2216" s="1" t="n">
        <v>45666.594375</v>
      </c>
      <c r="C2216" s="1" t="n">
        <v>45962</v>
      </c>
      <c r="D2216" t="inlineStr">
        <is>
          <t>SKÅNE LÄN</t>
        </is>
      </c>
      <c r="E2216" t="inlineStr">
        <is>
          <t>OSBY</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48513-2023</t>
        </is>
      </c>
      <c r="B2217" s="1" t="n">
        <v>45208.30586805556</v>
      </c>
      <c r="C2217" s="1" t="n">
        <v>45962</v>
      </c>
      <c r="D2217" t="inlineStr">
        <is>
          <t>SKÅNE LÄN</t>
        </is>
      </c>
      <c r="E2217" t="inlineStr">
        <is>
          <t>OSBY</t>
        </is>
      </c>
      <c r="G2217" t="n">
        <v>4.7</v>
      </c>
      <c r="H2217" t="n">
        <v>0</v>
      </c>
      <c r="I2217" t="n">
        <v>0</v>
      </c>
      <c r="J2217" t="n">
        <v>0</v>
      </c>
      <c r="K2217" t="n">
        <v>0</v>
      </c>
      <c r="L2217" t="n">
        <v>0</v>
      </c>
      <c r="M2217" t="n">
        <v>0</v>
      </c>
      <c r="N2217" t="n">
        <v>0</v>
      </c>
      <c r="O2217" t="n">
        <v>0</v>
      </c>
      <c r="P2217" t="n">
        <v>0</v>
      </c>
      <c r="Q2217" t="n">
        <v>0</v>
      </c>
      <c r="R2217" s="2" t="inlineStr"/>
    </row>
    <row r="2218" ht="15" customHeight="1">
      <c r="A2218" t="inlineStr">
        <is>
          <t>A 21028-2021</t>
        </is>
      </c>
      <c r="B2218" s="1" t="n">
        <v>44319</v>
      </c>
      <c r="C2218" s="1" t="n">
        <v>45962</v>
      </c>
      <c r="D2218" t="inlineStr">
        <is>
          <t>SKÅNE LÄN</t>
        </is>
      </c>
      <c r="E2218" t="inlineStr">
        <is>
          <t>HÄSSLEHOLM</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31701-2023</t>
        </is>
      </c>
      <c r="B2219" s="1" t="n">
        <v>45117</v>
      </c>
      <c r="C2219" s="1" t="n">
        <v>45962</v>
      </c>
      <c r="D2219" t="inlineStr">
        <is>
          <t>SKÅNE LÄN</t>
        </is>
      </c>
      <c r="E2219" t="inlineStr">
        <is>
          <t>SVEDALA</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31704-2023</t>
        </is>
      </c>
      <c r="B2220" s="1" t="n">
        <v>45117</v>
      </c>
      <c r="C2220" s="1" t="n">
        <v>45962</v>
      </c>
      <c r="D2220" t="inlineStr">
        <is>
          <t>SKÅNE LÄN</t>
        </is>
      </c>
      <c r="E2220" t="inlineStr">
        <is>
          <t>ÖRKELLJUNGA</t>
        </is>
      </c>
      <c r="G2220" t="n">
        <v>6.7</v>
      </c>
      <c r="H2220" t="n">
        <v>0</v>
      </c>
      <c r="I2220" t="n">
        <v>0</v>
      </c>
      <c r="J2220" t="n">
        <v>0</v>
      </c>
      <c r="K2220" t="n">
        <v>0</v>
      </c>
      <c r="L2220" t="n">
        <v>0</v>
      </c>
      <c r="M2220" t="n">
        <v>0</v>
      </c>
      <c r="N2220" t="n">
        <v>0</v>
      </c>
      <c r="O2220" t="n">
        <v>0</v>
      </c>
      <c r="P2220" t="n">
        <v>0</v>
      </c>
      <c r="Q2220" t="n">
        <v>0</v>
      </c>
      <c r="R2220" s="2" t="inlineStr"/>
    </row>
    <row r="2221" ht="15" customHeight="1">
      <c r="A2221" t="inlineStr">
        <is>
          <t>A 69357-2021</t>
        </is>
      </c>
      <c r="B2221" s="1" t="n">
        <v>44531</v>
      </c>
      <c r="C2221" s="1" t="n">
        <v>45962</v>
      </c>
      <c r="D2221" t="inlineStr">
        <is>
          <t>SKÅNE LÄN</t>
        </is>
      </c>
      <c r="E2221" t="inlineStr">
        <is>
          <t>HÄSSLEHOLM</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14152-2023</t>
        </is>
      </c>
      <c r="B2222" s="1" t="n">
        <v>45009</v>
      </c>
      <c r="C2222" s="1" t="n">
        <v>45962</v>
      </c>
      <c r="D2222" t="inlineStr">
        <is>
          <t>SKÅNE LÄN</t>
        </is>
      </c>
      <c r="E2222" t="inlineStr">
        <is>
          <t>TOMELILLA</t>
        </is>
      </c>
      <c r="G2222" t="n">
        <v>3.5</v>
      </c>
      <c r="H2222" t="n">
        <v>0</v>
      </c>
      <c r="I2222" t="n">
        <v>0</v>
      </c>
      <c r="J2222" t="n">
        <v>0</v>
      </c>
      <c r="K2222" t="n">
        <v>0</v>
      </c>
      <c r="L2222" t="n">
        <v>0</v>
      </c>
      <c r="M2222" t="n">
        <v>0</v>
      </c>
      <c r="N2222" t="n">
        <v>0</v>
      </c>
      <c r="O2222" t="n">
        <v>0</v>
      </c>
      <c r="P2222" t="n">
        <v>0</v>
      </c>
      <c r="Q2222" t="n">
        <v>0</v>
      </c>
      <c r="R2222" s="2" t="inlineStr"/>
    </row>
    <row r="2223" ht="15" customHeight="1">
      <c r="A2223" t="inlineStr">
        <is>
          <t>A 61979-2024</t>
        </is>
      </c>
      <c r="B2223" s="1" t="n">
        <v>45646</v>
      </c>
      <c r="C2223" s="1" t="n">
        <v>45962</v>
      </c>
      <c r="D2223" t="inlineStr">
        <is>
          <t>SKÅNE LÄN</t>
        </is>
      </c>
      <c r="E2223" t="inlineStr">
        <is>
          <t>OSBY</t>
        </is>
      </c>
      <c r="F2223" t="inlineStr">
        <is>
          <t>Kyrkan</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23234-2024</t>
        </is>
      </c>
      <c r="B2224" s="1" t="n">
        <v>45453</v>
      </c>
      <c r="C2224" s="1" t="n">
        <v>45962</v>
      </c>
      <c r="D2224" t="inlineStr">
        <is>
          <t>SKÅNE LÄN</t>
        </is>
      </c>
      <c r="E2224" t="inlineStr">
        <is>
          <t>OSBY</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23235-2024</t>
        </is>
      </c>
      <c r="B2225" s="1" t="n">
        <v>45453</v>
      </c>
      <c r="C2225" s="1" t="n">
        <v>45962</v>
      </c>
      <c r="D2225" t="inlineStr">
        <is>
          <t>SKÅNE LÄN</t>
        </is>
      </c>
      <c r="E2225" t="inlineStr">
        <is>
          <t>OSBY</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22094-2024</t>
        </is>
      </c>
      <c r="B2226" s="1" t="n">
        <v>45443.76629629629</v>
      </c>
      <c r="C2226" s="1" t="n">
        <v>45962</v>
      </c>
      <c r="D2226" t="inlineStr">
        <is>
          <t>SKÅNE LÄN</t>
        </is>
      </c>
      <c r="E2226" t="inlineStr">
        <is>
          <t>ÖSTRA GÖINGE</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35673-2023</t>
        </is>
      </c>
      <c r="B2227" s="1" t="n">
        <v>45147</v>
      </c>
      <c r="C2227" s="1" t="n">
        <v>45962</v>
      </c>
      <c r="D2227" t="inlineStr">
        <is>
          <t>SKÅNE LÄN</t>
        </is>
      </c>
      <c r="E2227" t="inlineStr">
        <is>
          <t>ÖSTRA GÖINGE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10594-2025</t>
        </is>
      </c>
      <c r="B2228" s="1" t="n">
        <v>45721</v>
      </c>
      <c r="C2228" s="1" t="n">
        <v>45962</v>
      </c>
      <c r="D2228" t="inlineStr">
        <is>
          <t>SKÅNE LÄN</t>
        </is>
      </c>
      <c r="E2228" t="inlineStr">
        <is>
          <t>HÄSSLEHOLM</t>
        </is>
      </c>
      <c r="G2228" t="n">
        <v>5.3</v>
      </c>
      <c r="H2228" t="n">
        <v>0</v>
      </c>
      <c r="I2228" t="n">
        <v>0</v>
      </c>
      <c r="J2228" t="n">
        <v>0</v>
      </c>
      <c r="K2228" t="n">
        <v>0</v>
      </c>
      <c r="L2228" t="n">
        <v>0</v>
      </c>
      <c r="M2228" t="n">
        <v>0</v>
      </c>
      <c r="N2228" t="n">
        <v>0</v>
      </c>
      <c r="O2228" t="n">
        <v>0</v>
      </c>
      <c r="P2228" t="n">
        <v>0</v>
      </c>
      <c r="Q2228" t="n">
        <v>0</v>
      </c>
      <c r="R2228" s="2" t="inlineStr"/>
    </row>
    <row r="2229" ht="15" customHeight="1">
      <c r="A2229" t="inlineStr">
        <is>
          <t>A 1953-2023</t>
        </is>
      </c>
      <c r="B2229" s="1" t="n">
        <v>44937</v>
      </c>
      <c r="C2229" s="1" t="n">
        <v>45962</v>
      </c>
      <c r="D2229" t="inlineStr">
        <is>
          <t>SKÅNE LÄN</t>
        </is>
      </c>
      <c r="E2229" t="inlineStr">
        <is>
          <t>ÖSTRA GÖINGE</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18328-2025</t>
        </is>
      </c>
      <c r="B2230" s="1" t="n">
        <v>45762</v>
      </c>
      <c r="C2230" s="1" t="n">
        <v>45962</v>
      </c>
      <c r="D2230" t="inlineStr">
        <is>
          <t>SKÅNE LÄN</t>
        </is>
      </c>
      <c r="E2230" t="inlineStr">
        <is>
          <t>BÅSTAD</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3855-2023</t>
        </is>
      </c>
      <c r="B2231" s="1" t="n">
        <v>44951.69708333333</v>
      </c>
      <c r="C2231" s="1" t="n">
        <v>45962</v>
      </c>
      <c r="D2231" t="inlineStr">
        <is>
          <t>SKÅNE LÄN</t>
        </is>
      </c>
      <c r="E2231" t="inlineStr">
        <is>
          <t>HÄSSLEHOLM</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20636-2024</t>
        </is>
      </c>
      <c r="B2232" s="1" t="n">
        <v>45436</v>
      </c>
      <c r="C2232" s="1" t="n">
        <v>45962</v>
      </c>
      <c r="D2232" t="inlineStr">
        <is>
          <t>SKÅNE LÄN</t>
        </is>
      </c>
      <c r="E2232" t="inlineStr">
        <is>
          <t>OSBY</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2366-2024</t>
        </is>
      </c>
      <c r="B2233" s="1" t="n">
        <v>45310</v>
      </c>
      <c r="C2233" s="1" t="n">
        <v>45962</v>
      </c>
      <c r="D2233" t="inlineStr">
        <is>
          <t>SKÅNE LÄN</t>
        </is>
      </c>
      <c r="E2233" t="inlineStr">
        <is>
          <t>ÖSTRA GÖINGE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66526-2021</t>
        </is>
      </c>
      <c r="B2234" s="1" t="n">
        <v>44519.36761574074</v>
      </c>
      <c r="C2234" s="1" t="n">
        <v>45962</v>
      </c>
      <c r="D2234" t="inlineStr">
        <is>
          <t>SKÅNE LÄN</t>
        </is>
      </c>
      <c r="E2234" t="inlineStr">
        <is>
          <t>ÖSTRA GÖINGE</t>
        </is>
      </c>
      <c r="G2234" t="n">
        <v>0</v>
      </c>
      <c r="H2234" t="n">
        <v>0</v>
      </c>
      <c r="I2234" t="n">
        <v>0</v>
      </c>
      <c r="J2234" t="n">
        <v>0</v>
      </c>
      <c r="K2234" t="n">
        <v>0</v>
      </c>
      <c r="L2234" t="n">
        <v>0</v>
      </c>
      <c r="M2234" t="n">
        <v>0</v>
      </c>
      <c r="N2234" t="n">
        <v>0</v>
      </c>
      <c r="O2234" t="n">
        <v>0</v>
      </c>
      <c r="P2234" t="n">
        <v>0</v>
      </c>
      <c r="Q2234" t="n">
        <v>0</v>
      </c>
      <c r="R2234" s="2" t="inlineStr"/>
    </row>
    <row r="2235" ht="15" customHeight="1">
      <c r="A2235" t="inlineStr">
        <is>
          <t>A 33481-2024</t>
        </is>
      </c>
      <c r="B2235" s="1" t="n">
        <v>45519</v>
      </c>
      <c r="C2235" s="1" t="n">
        <v>45962</v>
      </c>
      <c r="D2235" t="inlineStr">
        <is>
          <t>SKÅNE LÄN</t>
        </is>
      </c>
      <c r="E2235" t="inlineStr">
        <is>
          <t>HÄSSLEHOLM</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33487-2022</t>
        </is>
      </c>
      <c r="B2236" s="1" t="n">
        <v>44788.82988425926</v>
      </c>
      <c r="C2236" s="1" t="n">
        <v>45962</v>
      </c>
      <c r="D2236" t="inlineStr">
        <is>
          <t>SKÅNE LÄN</t>
        </is>
      </c>
      <c r="E2236" t="inlineStr">
        <is>
          <t>OSBY</t>
        </is>
      </c>
      <c r="G2236" t="n">
        <v>7.9</v>
      </c>
      <c r="H2236" t="n">
        <v>0</v>
      </c>
      <c r="I2236" t="n">
        <v>0</v>
      </c>
      <c r="J2236" t="n">
        <v>0</v>
      </c>
      <c r="K2236" t="n">
        <v>0</v>
      </c>
      <c r="L2236" t="n">
        <v>0</v>
      </c>
      <c r="M2236" t="n">
        <v>0</v>
      </c>
      <c r="N2236" t="n">
        <v>0</v>
      </c>
      <c r="O2236" t="n">
        <v>0</v>
      </c>
      <c r="P2236" t="n">
        <v>0</v>
      </c>
      <c r="Q2236" t="n">
        <v>0</v>
      </c>
      <c r="R2236" s="2" t="inlineStr"/>
    </row>
    <row r="2237" ht="15" customHeight="1">
      <c r="A2237" t="inlineStr">
        <is>
          <t>A 48771-2024</t>
        </is>
      </c>
      <c r="B2237" s="1" t="n">
        <v>45593.61284722222</v>
      </c>
      <c r="C2237" s="1" t="n">
        <v>45962</v>
      </c>
      <c r="D2237" t="inlineStr">
        <is>
          <t>SKÅNE LÄN</t>
        </is>
      </c>
      <c r="E2237" t="inlineStr">
        <is>
          <t>HÄSSLEHOLM</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19642-2022</t>
        </is>
      </c>
      <c r="B2238" s="1" t="n">
        <v>44694</v>
      </c>
      <c r="C2238" s="1" t="n">
        <v>45962</v>
      </c>
      <c r="D2238" t="inlineStr">
        <is>
          <t>SKÅNE LÄN</t>
        </is>
      </c>
      <c r="E2238" t="inlineStr">
        <is>
          <t>KRISTIANSTAD</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32514-2023</t>
        </is>
      </c>
      <c r="B2239" s="1" t="n">
        <v>45121.35908564815</v>
      </c>
      <c r="C2239" s="1" t="n">
        <v>45962</v>
      </c>
      <c r="D2239" t="inlineStr">
        <is>
          <t>SKÅNE LÄN</t>
        </is>
      </c>
      <c r="E2239" t="inlineStr">
        <is>
          <t>ÖSTRA GÖINGE</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17649-2023</t>
        </is>
      </c>
      <c r="B2240" s="1" t="n">
        <v>45035</v>
      </c>
      <c r="C2240" s="1" t="n">
        <v>45962</v>
      </c>
      <c r="D2240" t="inlineStr">
        <is>
          <t>SKÅNE LÄN</t>
        </is>
      </c>
      <c r="E2240" t="inlineStr">
        <is>
          <t>OSBY</t>
        </is>
      </c>
      <c r="G2240" t="n">
        <v>11.3</v>
      </c>
      <c r="H2240" t="n">
        <v>0</v>
      </c>
      <c r="I2240" t="n">
        <v>0</v>
      </c>
      <c r="J2240" t="n">
        <v>0</v>
      </c>
      <c r="K2240" t="n">
        <v>0</v>
      </c>
      <c r="L2240" t="n">
        <v>0</v>
      </c>
      <c r="M2240" t="n">
        <v>0</v>
      </c>
      <c r="N2240" t="n">
        <v>0</v>
      </c>
      <c r="O2240" t="n">
        <v>0</v>
      </c>
      <c r="P2240" t="n">
        <v>0</v>
      </c>
      <c r="Q2240" t="n">
        <v>0</v>
      </c>
      <c r="R2240" s="2" t="inlineStr"/>
    </row>
    <row r="2241" ht="15" customHeight="1">
      <c r="A2241" t="inlineStr">
        <is>
          <t>A 3608-2023</t>
        </is>
      </c>
      <c r="B2241" s="1" t="n">
        <v>44946</v>
      </c>
      <c r="C2241" s="1" t="n">
        <v>45962</v>
      </c>
      <c r="D2241" t="inlineStr">
        <is>
          <t>SKÅNE LÄN</t>
        </is>
      </c>
      <c r="E2241" t="inlineStr">
        <is>
          <t>KRISTIANSTAD</t>
        </is>
      </c>
      <c r="G2241" t="n">
        <v>5.2</v>
      </c>
      <c r="H2241" t="n">
        <v>0</v>
      </c>
      <c r="I2241" t="n">
        <v>0</v>
      </c>
      <c r="J2241" t="n">
        <v>0</v>
      </c>
      <c r="K2241" t="n">
        <v>0</v>
      </c>
      <c r="L2241" t="n">
        <v>0</v>
      </c>
      <c r="M2241" t="n">
        <v>0</v>
      </c>
      <c r="N2241" t="n">
        <v>0</v>
      </c>
      <c r="O2241" t="n">
        <v>0</v>
      </c>
      <c r="P2241" t="n">
        <v>0</v>
      </c>
      <c r="Q2241" t="n">
        <v>0</v>
      </c>
      <c r="R2241" s="2" t="inlineStr"/>
    </row>
    <row r="2242" ht="15" customHeight="1">
      <c r="A2242" t="inlineStr">
        <is>
          <t>A 61045-2024</t>
        </is>
      </c>
      <c r="B2242" s="1" t="n">
        <v>45645.47678240741</v>
      </c>
      <c r="C2242" s="1" t="n">
        <v>45962</v>
      </c>
      <c r="D2242" t="inlineStr">
        <is>
          <t>SKÅNE LÄN</t>
        </is>
      </c>
      <c r="E2242" t="inlineStr">
        <is>
          <t>SVALÖV</t>
        </is>
      </c>
      <c r="G2242" t="n">
        <v>5.7</v>
      </c>
      <c r="H2242" t="n">
        <v>0</v>
      </c>
      <c r="I2242" t="n">
        <v>0</v>
      </c>
      <c r="J2242" t="n">
        <v>0</v>
      </c>
      <c r="K2242" t="n">
        <v>0</v>
      </c>
      <c r="L2242" t="n">
        <v>0</v>
      </c>
      <c r="M2242" t="n">
        <v>0</v>
      </c>
      <c r="N2242" t="n">
        <v>0</v>
      </c>
      <c r="O2242" t="n">
        <v>0</v>
      </c>
      <c r="P2242" t="n">
        <v>0</v>
      </c>
      <c r="Q2242" t="n">
        <v>0</v>
      </c>
      <c r="R2242" s="2" t="inlineStr"/>
    </row>
    <row r="2243" ht="15" customHeight="1">
      <c r="A2243" t="inlineStr">
        <is>
          <t>A 42248-2023</t>
        </is>
      </c>
      <c r="B2243" s="1" t="n">
        <v>45180</v>
      </c>
      <c r="C2243" s="1" t="n">
        <v>45962</v>
      </c>
      <c r="D2243" t="inlineStr">
        <is>
          <t>SKÅNE LÄN</t>
        </is>
      </c>
      <c r="E2243" t="inlineStr">
        <is>
          <t>KRISTIANSTAD</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14529-2021</t>
        </is>
      </c>
      <c r="B2244" s="1" t="n">
        <v>44279.65511574074</v>
      </c>
      <c r="C2244" s="1" t="n">
        <v>45962</v>
      </c>
      <c r="D2244" t="inlineStr">
        <is>
          <t>SKÅNE LÄN</t>
        </is>
      </c>
      <c r="E2244" t="inlineStr">
        <is>
          <t>ÖSTRA GÖINGE</t>
        </is>
      </c>
      <c r="G2244" t="n">
        <v>0.8</v>
      </c>
      <c r="H2244" t="n">
        <v>0</v>
      </c>
      <c r="I2244" t="n">
        <v>0</v>
      </c>
      <c r="J2244" t="n">
        <v>0</v>
      </c>
      <c r="K2244" t="n">
        <v>0</v>
      </c>
      <c r="L2244" t="n">
        <v>0</v>
      </c>
      <c r="M2244" t="n">
        <v>0</v>
      </c>
      <c r="N2244" t="n">
        <v>0</v>
      </c>
      <c r="O2244" t="n">
        <v>0</v>
      </c>
      <c r="P2244" t="n">
        <v>0</v>
      </c>
      <c r="Q2244" t="n">
        <v>0</v>
      </c>
      <c r="R2244" s="2" t="inlineStr"/>
    </row>
    <row r="2245" ht="15" customHeight="1">
      <c r="A2245" t="inlineStr">
        <is>
          <t>A 12344-2023</t>
        </is>
      </c>
      <c r="B2245" s="1" t="n">
        <v>44999</v>
      </c>
      <c r="C2245" s="1" t="n">
        <v>45962</v>
      </c>
      <c r="D2245" t="inlineStr">
        <is>
          <t>SKÅNE LÄN</t>
        </is>
      </c>
      <c r="E2245" t="inlineStr">
        <is>
          <t>HÄSSLEHOLM</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7881-2025</t>
        </is>
      </c>
      <c r="B2246" s="1" t="n">
        <v>45706.79318287037</v>
      </c>
      <c r="C2246" s="1" t="n">
        <v>45962</v>
      </c>
      <c r="D2246" t="inlineStr">
        <is>
          <t>SKÅNE LÄN</t>
        </is>
      </c>
      <c r="E2246" t="inlineStr">
        <is>
          <t>OSBY</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54280-2023</t>
        </is>
      </c>
      <c r="B2247" s="1" t="n">
        <v>45232.69518518518</v>
      </c>
      <c r="C2247" s="1" t="n">
        <v>45962</v>
      </c>
      <c r="D2247" t="inlineStr">
        <is>
          <t>SKÅNE LÄN</t>
        </is>
      </c>
      <c r="E2247" t="inlineStr">
        <is>
          <t>SVEDALA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2813-2021</t>
        </is>
      </c>
      <c r="B2248" s="1" t="n">
        <v>44215</v>
      </c>
      <c r="C2248" s="1" t="n">
        <v>45962</v>
      </c>
      <c r="D2248" t="inlineStr">
        <is>
          <t>SKÅNE LÄN</t>
        </is>
      </c>
      <c r="E2248" t="inlineStr">
        <is>
          <t>HÄSSLEHOLM</t>
        </is>
      </c>
      <c r="G2248" t="n">
        <v>7.1</v>
      </c>
      <c r="H2248" t="n">
        <v>0</v>
      </c>
      <c r="I2248" t="n">
        <v>0</v>
      </c>
      <c r="J2248" t="n">
        <v>0</v>
      </c>
      <c r="K2248" t="n">
        <v>0</v>
      </c>
      <c r="L2248" t="n">
        <v>0</v>
      </c>
      <c r="M2248" t="n">
        <v>0</v>
      </c>
      <c r="N2248" t="n">
        <v>0</v>
      </c>
      <c r="O2248" t="n">
        <v>0</v>
      </c>
      <c r="P2248" t="n">
        <v>0</v>
      </c>
      <c r="Q2248" t="n">
        <v>0</v>
      </c>
      <c r="R2248" s="2" t="inlineStr"/>
    </row>
    <row r="2249" ht="15" customHeight="1">
      <c r="A2249" t="inlineStr">
        <is>
          <t>A 20492-2024</t>
        </is>
      </c>
      <c r="B2249" s="1" t="n">
        <v>45435.8712962963</v>
      </c>
      <c r="C2249" s="1" t="n">
        <v>45962</v>
      </c>
      <c r="D2249" t="inlineStr">
        <is>
          <t>SKÅNE LÄN</t>
        </is>
      </c>
      <c r="E2249" t="inlineStr">
        <is>
          <t>ÖRKELLJUNGA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5145-2021</t>
        </is>
      </c>
      <c r="B2250" s="1" t="n">
        <v>44228</v>
      </c>
      <c r="C2250" s="1" t="n">
        <v>45962</v>
      </c>
      <c r="D2250" t="inlineStr">
        <is>
          <t>SKÅNE LÄN</t>
        </is>
      </c>
      <c r="E2250" t="inlineStr">
        <is>
          <t>ÖSTRA GÖINGE</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1289-2024</t>
        </is>
      </c>
      <c r="B2251" s="1" t="n">
        <v>45303.32234953704</v>
      </c>
      <c r="C2251" s="1" t="n">
        <v>45962</v>
      </c>
      <c r="D2251" t="inlineStr">
        <is>
          <t>SKÅNE LÄN</t>
        </is>
      </c>
      <c r="E2251" t="inlineStr">
        <is>
          <t>HÄSSLEHOLM</t>
        </is>
      </c>
      <c r="G2251" t="n">
        <v>4.6</v>
      </c>
      <c r="H2251" t="n">
        <v>0</v>
      </c>
      <c r="I2251" t="n">
        <v>0</v>
      </c>
      <c r="J2251" t="n">
        <v>0</v>
      </c>
      <c r="K2251" t="n">
        <v>0</v>
      </c>
      <c r="L2251" t="n">
        <v>0</v>
      </c>
      <c r="M2251" t="n">
        <v>0</v>
      </c>
      <c r="N2251" t="n">
        <v>0</v>
      </c>
      <c r="O2251" t="n">
        <v>0</v>
      </c>
      <c r="P2251" t="n">
        <v>0</v>
      </c>
      <c r="Q2251" t="n">
        <v>0</v>
      </c>
      <c r="R2251" s="2" t="inlineStr"/>
    </row>
    <row r="2252" ht="15" customHeight="1">
      <c r="A2252" t="inlineStr">
        <is>
          <t>A 425-2023</t>
        </is>
      </c>
      <c r="B2252" s="1" t="n">
        <v>44929</v>
      </c>
      <c r="C2252" s="1" t="n">
        <v>45962</v>
      </c>
      <c r="D2252" t="inlineStr">
        <is>
          <t>SKÅNE LÄN</t>
        </is>
      </c>
      <c r="E2252" t="inlineStr">
        <is>
          <t>ÖSTRA GÖINGE</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17517-2024</t>
        </is>
      </c>
      <c r="B2253" s="1" t="n">
        <v>45415.58579861111</v>
      </c>
      <c r="C2253" s="1" t="n">
        <v>45962</v>
      </c>
      <c r="D2253" t="inlineStr">
        <is>
          <t>SKÅNE LÄN</t>
        </is>
      </c>
      <c r="E2253" t="inlineStr">
        <is>
          <t>BROMÖLLA</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15070-2024</t>
        </is>
      </c>
      <c r="B2254" s="1" t="n">
        <v>45399.59040509259</v>
      </c>
      <c r="C2254" s="1" t="n">
        <v>45962</v>
      </c>
      <c r="D2254" t="inlineStr">
        <is>
          <t>SKÅNE LÄN</t>
        </is>
      </c>
      <c r="E2254" t="inlineStr">
        <is>
          <t>KLIPPAN</t>
        </is>
      </c>
      <c r="F2254" t="inlineStr">
        <is>
          <t>Övriga Aktiebolag</t>
        </is>
      </c>
      <c r="G2254" t="n">
        <v>4.9</v>
      </c>
      <c r="H2254" t="n">
        <v>0</v>
      </c>
      <c r="I2254" t="n">
        <v>0</v>
      </c>
      <c r="J2254" t="n">
        <v>0</v>
      </c>
      <c r="K2254" t="n">
        <v>0</v>
      </c>
      <c r="L2254" t="n">
        <v>0</v>
      </c>
      <c r="M2254" t="n">
        <v>0</v>
      </c>
      <c r="N2254" t="n">
        <v>0</v>
      </c>
      <c r="O2254" t="n">
        <v>0</v>
      </c>
      <c r="P2254" t="n">
        <v>0</v>
      </c>
      <c r="Q2254" t="n">
        <v>0</v>
      </c>
      <c r="R2254" s="2" t="inlineStr"/>
    </row>
    <row r="2255" ht="15" customHeight="1">
      <c r="A2255" t="inlineStr">
        <is>
          <t>A 15075-2024</t>
        </is>
      </c>
      <c r="B2255" s="1" t="n">
        <v>45399</v>
      </c>
      <c r="C2255" s="1" t="n">
        <v>45962</v>
      </c>
      <c r="D2255" t="inlineStr">
        <is>
          <t>SKÅNE LÄN</t>
        </is>
      </c>
      <c r="E2255" t="inlineStr">
        <is>
          <t>TOMELILLA</t>
        </is>
      </c>
      <c r="G2255" t="n">
        <v>1.7</v>
      </c>
      <c r="H2255" t="n">
        <v>0</v>
      </c>
      <c r="I2255" t="n">
        <v>0</v>
      </c>
      <c r="J2255" t="n">
        <v>0</v>
      </c>
      <c r="K2255" t="n">
        <v>0</v>
      </c>
      <c r="L2255" t="n">
        <v>0</v>
      </c>
      <c r="M2255" t="n">
        <v>0</v>
      </c>
      <c r="N2255" t="n">
        <v>0</v>
      </c>
      <c r="O2255" t="n">
        <v>0</v>
      </c>
      <c r="P2255" t="n">
        <v>0</v>
      </c>
      <c r="Q2255" t="n">
        <v>0</v>
      </c>
      <c r="R2255" s="2" t="inlineStr"/>
    </row>
    <row r="2256" ht="15" customHeight="1">
      <c r="A2256" t="inlineStr">
        <is>
          <t>A 19744-2023</t>
        </is>
      </c>
      <c r="B2256" s="1" t="n">
        <v>45051</v>
      </c>
      <c r="C2256" s="1" t="n">
        <v>45962</v>
      </c>
      <c r="D2256" t="inlineStr">
        <is>
          <t>SKÅNE LÄN</t>
        </is>
      </c>
      <c r="E2256" t="inlineStr">
        <is>
          <t>HÄSSLEHOLM</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14655-2025</t>
        </is>
      </c>
      <c r="B2257" s="1" t="n">
        <v>45742.5072337963</v>
      </c>
      <c r="C2257" s="1" t="n">
        <v>45962</v>
      </c>
      <c r="D2257" t="inlineStr">
        <is>
          <t>SKÅNE LÄN</t>
        </is>
      </c>
      <c r="E2257" t="inlineStr">
        <is>
          <t>HÄSSLEHOLM</t>
        </is>
      </c>
      <c r="G2257" t="n">
        <v>4.5</v>
      </c>
      <c r="H2257" t="n">
        <v>0</v>
      </c>
      <c r="I2257" t="n">
        <v>0</v>
      </c>
      <c r="J2257" t="n">
        <v>0</v>
      </c>
      <c r="K2257" t="n">
        <v>0</v>
      </c>
      <c r="L2257" t="n">
        <v>0</v>
      </c>
      <c r="M2257" t="n">
        <v>0</v>
      </c>
      <c r="N2257" t="n">
        <v>0</v>
      </c>
      <c r="O2257" t="n">
        <v>0</v>
      </c>
      <c r="P2257" t="n">
        <v>0</v>
      </c>
      <c r="Q2257" t="n">
        <v>0</v>
      </c>
      <c r="R2257" s="2" t="inlineStr"/>
    </row>
    <row r="2258" ht="15" customHeight="1">
      <c r="A2258" t="inlineStr">
        <is>
          <t>A 16690-2023</t>
        </is>
      </c>
      <c r="B2258" s="1" t="n">
        <v>45030</v>
      </c>
      <c r="C2258" s="1" t="n">
        <v>45962</v>
      </c>
      <c r="D2258" t="inlineStr">
        <is>
          <t>SKÅNE LÄN</t>
        </is>
      </c>
      <c r="E2258" t="inlineStr">
        <is>
          <t>SVEDALA</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13953-2025</t>
        </is>
      </c>
      <c r="B2259" s="1" t="n">
        <v>45737</v>
      </c>
      <c r="C2259" s="1" t="n">
        <v>45962</v>
      </c>
      <c r="D2259" t="inlineStr">
        <is>
          <t>SKÅNE LÄN</t>
        </is>
      </c>
      <c r="E2259" t="inlineStr">
        <is>
          <t>KRISTIANSTAD</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23601-2022</t>
        </is>
      </c>
      <c r="B2260" s="1" t="n">
        <v>44721.57989583333</v>
      </c>
      <c r="C2260" s="1" t="n">
        <v>45962</v>
      </c>
      <c r="D2260" t="inlineStr">
        <is>
          <t>SKÅNE LÄN</t>
        </is>
      </c>
      <c r="E2260" t="inlineStr">
        <is>
          <t>OSBY</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25671-2023</t>
        </is>
      </c>
      <c r="B2261" s="1" t="n">
        <v>45089</v>
      </c>
      <c r="C2261" s="1" t="n">
        <v>45962</v>
      </c>
      <c r="D2261" t="inlineStr">
        <is>
          <t>SKÅNE LÄN</t>
        </is>
      </c>
      <c r="E2261" t="inlineStr">
        <is>
          <t>KRISTIANSTAD</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41069-2023</t>
        </is>
      </c>
      <c r="B2262" s="1" t="n">
        <v>45173</v>
      </c>
      <c r="C2262" s="1" t="n">
        <v>45962</v>
      </c>
      <c r="D2262" t="inlineStr">
        <is>
          <t>SKÅNE LÄN</t>
        </is>
      </c>
      <c r="E2262" t="inlineStr">
        <is>
          <t>KRISTIANSTAD</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14912-2024</t>
        </is>
      </c>
      <c r="B2263" s="1" t="n">
        <v>45398.59821759259</v>
      </c>
      <c r="C2263" s="1" t="n">
        <v>45962</v>
      </c>
      <c r="D2263" t="inlineStr">
        <is>
          <t>SKÅNE LÄN</t>
        </is>
      </c>
      <c r="E2263" t="inlineStr">
        <is>
          <t>ÖRKELLJUNGA</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58868-2021</t>
        </is>
      </c>
      <c r="B2264" s="1" t="n">
        <v>44489</v>
      </c>
      <c r="C2264" s="1" t="n">
        <v>45962</v>
      </c>
      <c r="D2264" t="inlineStr">
        <is>
          <t>SKÅNE LÄN</t>
        </is>
      </c>
      <c r="E2264" t="inlineStr">
        <is>
          <t>ÖSTRA GÖINGE</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14926-2024</t>
        </is>
      </c>
      <c r="B2265" s="1" t="n">
        <v>45398</v>
      </c>
      <c r="C2265" s="1" t="n">
        <v>45962</v>
      </c>
      <c r="D2265" t="inlineStr">
        <is>
          <t>SKÅNE LÄN</t>
        </is>
      </c>
      <c r="E2265" t="inlineStr">
        <is>
          <t>HÄSSLEHOLM</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60843-2022</t>
        </is>
      </c>
      <c r="B2266" s="1" t="n">
        <v>44914</v>
      </c>
      <c r="C2266" s="1" t="n">
        <v>45962</v>
      </c>
      <c r="D2266" t="inlineStr">
        <is>
          <t>SKÅNE LÄN</t>
        </is>
      </c>
      <c r="E2266" t="inlineStr">
        <is>
          <t>HÄSSLEHOLM</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61197-2024</t>
        </is>
      </c>
      <c r="B2267" s="1" t="n">
        <v>45645.63184027778</v>
      </c>
      <c r="C2267" s="1" t="n">
        <v>45962</v>
      </c>
      <c r="D2267" t="inlineStr">
        <is>
          <t>SKÅNE LÄN</t>
        </is>
      </c>
      <c r="E2267" t="inlineStr">
        <is>
          <t>HÄSSLEHOLM</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56137-2021</t>
        </is>
      </c>
      <c r="B2268" s="1" t="n">
        <v>44477</v>
      </c>
      <c r="C2268" s="1" t="n">
        <v>45962</v>
      </c>
      <c r="D2268" t="inlineStr">
        <is>
          <t>SKÅNE LÄN</t>
        </is>
      </c>
      <c r="E2268" t="inlineStr">
        <is>
          <t>SJÖBO</t>
        </is>
      </c>
      <c r="G2268" t="n">
        <v>5.1</v>
      </c>
      <c r="H2268" t="n">
        <v>0</v>
      </c>
      <c r="I2268" t="n">
        <v>0</v>
      </c>
      <c r="J2268" t="n">
        <v>0</v>
      </c>
      <c r="K2268" t="n">
        <v>0</v>
      </c>
      <c r="L2268" t="n">
        <v>0</v>
      </c>
      <c r="M2268" t="n">
        <v>0</v>
      </c>
      <c r="N2268" t="n">
        <v>0</v>
      </c>
      <c r="O2268" t="n">
        <v>0</v>
      </c>
      <c r="P2268" t="n">
        <v>0</v>
      </c>
      <c r="Q2268" t="n">
        <v>0</v>
      </c>
      <c r="R2268" s="2" t="inlineStr"/>
    </row>
    <row r="2269" ht="15" customHeight="1">
      <c r="A2269" t="inlineStr">
        <is>
          <t>A 54176-2022</t>
        </is>
      </c>
      <c r="B2269" s="1" t="n">
        <v>44881</v>
      </c>
      <c r="C2269" s="1" t="n">
        <v>45962</v>
      </c>
      <c r="D2269" t="inlineStr">
        <is>
          <t>SKÅNE LÄN</t>
        </is>
      </c>
      <c r="E2269" t="inlineStr">
        <is>
          <t>HÄSSLEHOLM</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15921-2025</t>
        </is>
      </c>
      <c r="B2270" s="1" t="n">
        <v>45749</v>
      </c>
      <c r="C2270" s="1" t="n">
        <v>45962</v>
      </c>
      <c r="D2270" t="inlineStr">
        <is>
          <t>SKÅNE LÄN</t>
        </is>
      </c>
      <c r="E2270" t="inlineStr">
        <is>
          <t>TOMELILLA</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46733-2023</t>
        </is>
      </c>
      <c r="B2271" s="1" t="n">
        <v>45195</v>
      </c>
      <c r="C2271" s="1" t="n">
        <v>45962</v>
      </c>
      <c r="D2271" t="inlineStr">
        <is>
          <t>SKÅNE LÄN</t>
        </is>
      </c>
      <c r="E2271" t="inlineStr">
        <is>
          <t>BROMÖLLA</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6165-2023</t>
        </is>
      </c>
      <c r="B2272" s="1" t="n">
        <v>44964.67114583333</v>
      </c>
      <c r="C2272" s="1" t="n">
        <v>45962</v>
      </c>
      <c r="D2272" t="inlineStr">
        <is>
          <t>SKÅNE LÄN</t>
        </is>
      </c>
      <c r="E2272" t="inlineStr">
        <is>
          <t>HÄSSLEHOLM</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33938-2023</t>
        </is>
      </c>
      <c r="B2273" s="1" t="n">
        <v>45124</v>
      </c>
      <c r="C2273" s="1" t="n">
        <v>45962</v>
      </c>
      <c r="D2273" t="inlineStr">
        <is>
          <t>SKÅNE LÄN</t>
        </is>
      </c>
      <c r="E2273" t="inlineStr">
        <is>
          <t>HÄSSLEHOLM</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61533-2022</t>
        </is>
      </c>
      <c r="B2274" s="1" t="n">
        <v>44910</v>
      </c>
      <c r="C2274" s="1" t="n">
        <v>45962</v>
      </c>
      <c r="D2274" t="inlineStr">
        <is>
          <t>SKÅNE LÄN</t>
        </is>
      </c>
      <c r="E2274" t="inlineStr">
        <is>
          <t>HÄSSLEHOLM</t>
        </is>
      </c>
      <c r="F2274" t="inlineStr">
        <is>
          <t>Kyrkan</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52528-2021</t>
        </is>
      </c>
      <c r="B2275" s="1" t="n">
        <v>44466.46428240741</v>
      </c>
      <c r="C2275" s="1" t="n">
        <v>45962</v>
      </c>
      <c r="D2275" t="inlineStr">
        <is>
          <t>SKÅNE LÄN</t>
        </is>
      </c>
      <c r="E2275" t="inlineStr">
        <is>
          <t>ÖRKELLJUNGA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7152-2025</t>
        </is>
      </c>
      <c r="B2276" s="1" t="n">
        <v>45702.3837037037</v>
      </c>
      <c r="C2276" s="1" t="n">
        <v>45962</v>
      </c>
      <c r="D2276" t="inlineStr">
        <is>
          <t>SKÅNE LÄN</t>
        </is>
      </c>
      <c r="E2276" t="inlineStr">
        <is>
          <t>HÄSSLEHOLM</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7160-2025</t>
        </is>
      </c>
      <c r="B2277" s="1" t="n">
        <v>45702.3875462963</v>
      </c>
      <c r="C2277" s="1" t="n">
        <v>45962</v>
      </c>
      <c r="D2277" t="inlineStr">
        <is>
          <t>SKÅNE LÄN</t>
        </is>
      </c>
      <c r="E2277" t="inlineStr">
        <is>
          <t>HÄSSLEHOLM</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43175-2022</t>
        </is>
      </c>
      <c r="B2278" s="1" t="n">
        <v>44834</v>
      </c>
      <c r="C2278" s="1" t="n">
        <v>45962</v>
      </c>
      <c r="D2278" t="inlineStr">
        <is>
          <t>SKÅNE LÄN</t>
        </is>
      </c>
      <c r="E2278" t="inlineStr">
        <is>
          <t>OSBY</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677-2024</t>
        </is>
      </c>
      <c r="B2279" s="1" t="n">
        <v>45300</v>
      </c>
      <c r="C2279" s="1" t="n">
        <v>45962</v>
      </c>
      <c r="D2279" t="inlineStr">
        <is>
          <t>SKÅNE LÄN</t>
        </is>
      </c>
      <c r="E2279" t="inlineStr">
        <is>
          <t>HÄSSLEHOLM</t>
        </is>
      </c>
      <c r="G2279" t="n">
        <v>6.8</v>
      </c>
      <c r="H2279" t="n">
        <v>0</v>
      </c>
      <c r="I2279" t="n">
        <v>0</v>
      </c>
      <c r="J2279" t="n">
        <v>0</v>
      </c>
      <c r="K2279" t="n">
        <v>0</v>
      </c>
      <c r="L2279" t="n">
        <v>0</v>
      </c>
      <c r="M2279" t="n">
        <v>0</v>
      </c>
      <c r="N2279" t="n">
        <v>0</v>
      </c>
      <c r="O2279" t="n">
        <v>0</v>
      </c>
      <c r="P2279" t="n">
        <v>0</v>
      </c>
      <c r="Q2279" t="n">
        <v>0</v>
      </c>
      <c r="R2279" s="2" t="inlineStr"/>
    </row>
    <row r="2280" ht="15" customHeight="1">
      <c r="A2280" t="inlineStr">
        <is>
          <t>A 61504-2022</t>
        </is>
      </c>
      <c r="B2280" s="1" t="n">
        <v>44910</v>
      </c>
      <c r="C2280" s="1" t="n">
        <v>45962</v>
      </c>
      <c r="D2280" t="inlineStr">
        <is>
          <t>SKÅNE LÄN</t>
        </is>
      </c>
      <c r="E2280" t="inlineStr">
        <is>
          <t>HÄSSLEHOLM</t>
        </is>
      </c>
      <c r="F2280" t="inlineStr">
        <is>
          <t>Kyrkan</t>
        </is>
      </c>
      <c r="G2280" t="n">
        <v>2.9</v>
      </c>
      <c r="H2280" t="n">
        <v>0</v>
      </c>
      <c r="I2280" t="n">
        <v>0</v>
      </c>
      <c r="J2280" t="n">
        <v>0</v>
      </c>
      <c r="K2280" t="n">
        <v>0</v>
      </c>
      <c r="L2280" t="n">
        <v>0</v>
      </c>
      <c r="M2280" t="n">
        <v>0</v>
      </c>
      <c r="N2280" t="n">
        <v>0</v>
      </c>
      <c r="O2280" t="n">
        <v>0</v>
      </c>
      <c r="P2280" t="n">
        <v>0</v>
      </c>
      <c r="Q2280" t="n">
        <v>0</v>
      </c>
      <c r="R2280" s="2" t="inlineStr"/>
    </row>
    <row r="2281" ht="15" customHeight="1">
      <c r="A2281" t="inlineStr">
        <is>
          <t>A 1872-2024</t>
        </is>
      </c>
      <c r="B2281" s="1" t="n">
        <v>45307</v>
      </c>
      <c r="C2281" s="1" t="n">
        <v>45962</v>
      </c>
      <c r="D2281" t="inlineStr">
        <is>
          <t>SKÅNE LÄN</t>
        </is>
      </c>
      <c r="E2281" t="inlineStr">
        <is>
          <t>KRISTIANSTAD</t>
        </is>
      </c>
      <c r="F2281" t="inlineStr">
        <is>
          <t>Övriga Aktiebolag</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56647-2023</t>
        </is>
      </c>
      <c r="B2282" s="1" t="n">
        <v>45243</v>
      </c>
      <c r="C2282" s="1" t="n">
        <v>45962</v>
      </c>
      <c r="D2282" t="inlineStr">
        <is>
          <t>SKÅNE LÄN</t>
        </is>
      </c>
      <c r="E2282" t="inlineStr">
        <is>
          <t>ÖSTRA GÖINGE</t>
        </is>
      </c>
      <c r="G2282" t="n">
        <v>7.7</v>
      </c>
      <c r="H2282" t="n">
        <v>0</v>
      </c>
      <c r="I2282" t="n">
        <v>0</v>
      </c>
      <c r="J2282" t="n">
        <v>0</v>
      </c>
      <c r="K2282" t="n">
        <v>0</v>
      </c>
      <c r="L2282" t="n">
        <v>0</v>
      </c>
      <c r="M2282" t="n">
        <v>0</v>
      </c>
      <c r="N2282" t="n">
        <v>0</v>
      </c>
      <c r="O2282" t="n">
        <v>0</v>
      </c>
      <c r="P2282" t="n">
        <v>0</v>
      </c>
      <c r="Q2282" t="n">
        <v>0</v>
      </c>
      <c r="R2282" s="2" t="inlineStr"/>
    </row>
    <row r="2283" ht="15" customHeight="1">
      <c r="A2283" t="inlineStr">
        <is>
          <t>A 46525-2023</t>
        </is>
      </c>
      <c r="B2283" s="1" t="n">
        <v>45197</v>
      </c>
      <c r="C2283" s="1" t="n">
        <v>45962</v>
      </c>
      <c r="D2283" t="inlineStr">
        <is>
          <t>SKÅNE LÄN</t>
        </is>
      </c>
      <c r="E2283" t="inlineStr">
        <is>
          <t>KRISTIANSTAD</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28619-2025</t>
        </is>
      </c>
      <c r="B2284" s="1" t="n">
        <v>45819</v>
      </c>
      <c r="C2284" s="1" t="n">
        <v>45962</v>
      </c>
      <c r="D2284" t="inlineStr">
        <is>
          <t>SKÅNE LÄN</t>
        </is>
      </c>
      <c r="E2284" t="inlineStr">
        <is>
          <t>ÖSTRA GÖINGE</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27291-2023</t>
        </is>
      </c>
      <c r="B2285" s="1" t="n">
        <v>45096</v>
      </c>
      <c r="C2285" s="1" t="n">
        <v>45962</v>
      </c>
      <c r="D2285" t="inlineStr">
        <is>
          <t>SKÅNE LÄN</t>
        </is>
      </c>
      <c r="E2285" t="inlineStr">
        <is>
          <t>HÄSSLEHOLM</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30725-2021</t>
        </is>
      </c>
      <c r="B2286" s="1" t="n">
        <v>44365.44506944445</v>
      </c>
      <c r="C2286" s="1" t="n">
        <v>45962</v>
      </c>
      <c r="D2286" t="inlineStr">
        <is>
          <t>SKÅNE LÄN</t>
        </is>
      </c>
      <c r="E2286" t="inlineStr">
        <is>
          <t>KLIPPAN</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2543-2025</t>
        </is>
      </c>
      <c r="B2287" s="1" t="n">
        <v>45674.62034722222</v>
      </c>
      <c r="C2287" s="1" t="n">
        <v>45962</v>
      </c>
      <c r="D2287" t="inlineStr">
        <is>
          <t>SKÅNE LÄN</t>
        </is>
      </c>
      <c r="E2287" t="inlineStr">
        <is>
          <t>ÖSTRA GÖINGE</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217-2023</t>
        </is>
      </c>
      <c r="B2288" s="1" t="n">
        <v>44928</v>
      </c>
      <c r="C2288" s="1" t="n">
        <v>45962</v>
      </c>
      <c r="D2288" t="inlineStr">
        <is>
          <t>SKÅNE LÄN</t>
        </is>
      </c>
      <c r="E2288" t="inlineStr">
        <is>
          <t>KLIPPAN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37999-2024</t>
        </is>
      </c>
      <c r="B2289" s="1" t="n">
        <v>45544</v>
      </c>
      <c r="C2289" s="1" t="n">
        <v>45962</v>
      </c>
      <c r="D2289" t="inlineStr">
        <is>
          <t>SKÅNE LÄN</t>
        </is>
      </c>
      <c r="E2289" t="inlineStr">
        <is>
          <t>KRISTIANSTAD</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69022-2020</t>
        </is>
      </c>
      <c r="B2290" s="1" t="n">
        <v>44188</v>
      </c>
      <c r="C2290" s="1" t="n">
        <v>45962</v>
      </c>
      <c r="D2290" t="inlineStr">
        <is>
          <t>SKÅNE LÄN</t>
        </is>
      </c>
      <c r="E2290" t="inlineStr">
        <is>
          <t>KRISTIANSTAD</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67994-2021</t>
        </is>
      </c>
      <c r="B2291" s="1" t="n">
        <v>44525</v>
      </c>
      <c r="C2291" s="1" t="n">
        <v>45962</v>
      </c>
      <c r="D2291" t="inlineStr">
        <is>
          <t>SKÅNE LÄN</t>
        </is>
      </c>
      <c r="E2291" t="inlineStr">
        <is>
          <t>KRISTIANSTAD</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53460-2022</t>
        </is>
      </c>
      <c r="B2292" s="1" t="n">
        <v>44879</v>
      </c>
      <c r="C2292" s="1" t="n">
        <v>45962</v>
      </c>
      <c r="D2292" t="inlineStr">
        <is>
          <t>SKÅNE LÄN</t>
        </is>
      </c>
      <c r="E2292" t="inlineStr">
        <is>
          <t>HÖÖR</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53466-2022</t>
        </is>
      </c>
      <c r="B2293" s="1" t="n">
        <v>44879</v>
      </c>
      <c r="C2293" s="1" t="n">
        <v>45962</v>
      </c>
      <c r="D2293" t="inlineStr">
        <is>
          <t>SKÅNE LÄN</t>
        </is>
      </c>
      <c r="E2293" t="inlineStr">
        <is>
          <t>KRISTIANSTAD</t>
        </is>
      </c>
      <c r="F2293" t="inlineStr">
        <is>
          <t>Sveaskog</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69109-2020</t>
        </is>
      </c>
      <c r="B2294" s="1" t="n">
        <v>44188</v>
      </c>
      <c r="C2294" s="1" t="n">
        <v>45962</v>
      </c>
      <c r="D2294" t="inlineStr">
        <is>
          <t>SKÅNE LÄN</t>
        </is>
      </c>
      <c r="E2294" t="inlineStr">
        <is>
          <t>HÄSSLEHOLM</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61356-2023</t>
        </is>
      </c>
      <c r="B2295" s="1" t="n">
        <v>45260</v>
      </c>
      <c r="C2295" s="1" t="n">
        <v>45962</v>
      </c>
      <c r="D2295" t="inlineStr">
        <is>
          <t>SKÅNE LÄN</t>
        </is>
      </c>
      <c r="E2295" t="inlineStr">
        <is>
          <t>KRISTIANSTAD</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19739-2023</t>
        </is>
      </c>
      <c r="B2296" s="1" t="n">
        <v>45051</v>
      </c>
      <c r="C2296" s="1" t="n">
        <v>45962</v>
      </c>
      <c r="D2296" t="inlineStr">
        <is>
          <t>SKÅNE LÄN</t>
        </is>
      </c>
      <c r="E2296" t="inlineStr">
        <is>
          <t>HÄSSLEHOLM</t>
        </is>
      </c>
      <c r="G2296" t="n">
        <v>0.5</v>
      </c>
      <c r="H2296" t="n">
        <v>0</v>
      </c>
      <c r="I2296" t="n">
        <v>0</v>
      </c>
      <c r="J2296" t="n">
        <v>0</v>
      </c>
      <c r="K2296" t="n">
        <v>0</v>
      </c>
      <c r="L2296" t="n">
        <v>0</v>
      </c>
      <c r="M2296" t="n">
        <v>0</v>
      </c>
      <c r="N2296" t="n">
        <v>0</v>
      </c>
      <c r="O2296" t="n">
        <v>0</v>
      </c>
      <c r="P2296" t="n">
        <v>0</v>
      </c>
      <c r="Q2296" t="n">
        <v>0</v>
      </c>
      <c r="R2296" s="2" t="inlineStr"/>
    </row>
    <row r="2297" ht="15" customHeight="1">
      <c r="A2297" t="inlineStr">
        <is>
          <t>A 8997-2024</t>
        </is>
      </c>
      <c r="B2297" s="1" t="n">
        <v>45357</v>
      </c>
      <c r="C2297" s="1" t="n">
        <v>45962</v>
      </c>
      <c r="D2297" t="inlineStr">
        <is>
          <t>SKÅNE LÄN</t>
        </is>
      </c>
      <c r="E2297" t="inlineStr">
        <is>
          <t>KRISTIANSTAD</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7804-2025</t>
        </is>
      </c>
      <c r="B2298" s="1" t="n">
        <v>45706</v>
      </c>
      <c r="C2298" s="1" t="n">
        <v>45962</v>
      </c>
      <c r="D2298" t="inlineStr">
        <is>
          <t>SKÅNE LÄN</t>
        </is>
      </c>
      <c r="E2298" t="inlineStr">
        <is>
          <t>ÖSTRA GÖINGE</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20872-2025</t>
        </is>
      </c>
      <c r="B2299" s="1" t="n">
        <v>45777.34688657407</v>
      </c>
      <c r="C2299" s="1" t="n">
        <v>45962</v>
      </c>
      <c r="D2299" t="inlineStr">
        <is>
          <t>SKÅNE LÄN</t>
        </is>
      </c>
      <c r="E2299" t="inlineStr">
        <is>
          <t>HÄSSLEHOLM</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52968-2022</t>
        </is>
      </c>
      <c r="B2300" s="1" t="n">
        <v>44875</v>
      </c>
      <c r="C2300" s="1" t="n">
        <v>45962</v>
      </c>
      <c r="D2300" t="inlineStr">
        <is>
          <t>SKÅNE LÄN</t>
        </is>
      </c>
      <c r="E2300" t="inlineStr">
        <is>
          <t>HÄSSLEHOLM</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24927-2024</t>
        </is>
      </c>
      <c r="B2301" s="1" t="n">
        <v>45461.61268518519</v>
      </c>
      <c r="C2301" s="1" t="n">
        <v>45962</v>
      </c>
      <c r="D2301" t="inlineStr">
        <is>
          <t>SKÅNE LÄN</t>
        </is>
      </c>
      <c r="E2301" t="inlineStr">
        <is>
          <t>KRISTIANSTAD</t>
        </is>
      </c>
      <c r="F2301" t="inlineStr">
        <is>
          <t>Sveaskog</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20891-2025</t>
        </is>
      </c>
      <c r="B2302" s="1" t="n">
        <v>45777.38359953704</v>
      </c>
      <c r="C2302" s="1" t="n">
        <v>45962</v>
      </c>
      <c r="D2302" t="inlineStr">
        <is>
          <t>SKÅNE LÄN</t>
        </is>
      </c>
      <c r="E2302" t="inlineStr">
        <is>
          <t>KRISTIANSTAD</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20894-2025</t>
        </is>
      </c>
      <c r="B2303" s="1" t="n">
        <v>45777.39721064815</v>
      </c>
      <c r="C2303" s="1" t="n">
        <v>45962</v>
      </c>
      <c r="D2303" t="inlineStr">
        <is>
          <t>SKÅNE LÄN</t>
        </is>
      </c>
      <c r="E2303" t="inlineStr">
        <is>
          <t>OSBY</t>
        </is>
      </c>
      <c r="G2303" t="n">
        <v>0.6</v>
      </c>
      <c r="H2303" t="n">
        <v>0</v>
      </c>
      <c r="I2303" t="n">
        <v>0</v>
      </c>
      <c r="J2303" t="n">
        <v>0</v>
      </c>
      <c r="K2303" t="n">
        <v>0</v>
      </c>
      <c r="L2303" t="n">
        <v>0</v>
      </c>
      <c r="M2303" t="n">
        <v>0</v>
      </c>
      <c r="N2303" t="n">
        <v>0</v>
      </c>
      <c r="O2303" t="n">
        <v>0</v>
      </c>
      <c r="P2303" t="n">
        <v>0</v>
      </c>
      <c r="Q2303" t="n">
        <v>0</v>
      </c>
      <c r="R2303" s="2" t="inlineStr"/>
    </row>
    <row r="2304" ht="15" customHeight="1">
      <c r="A2304" t="inlineStr">
        <is>
          <t>A 38182-2024</t>
        </is>
      </c>
      <c r="B2304" s="1" t="n">
        <v>45545.47888888889</v>
      </c>
      <c r="C2304" s="1" t="n">
        <v>45962</v>
      </c>
      <c r="D2304" t="inlineStr">
        <is>
          <t>SKÅNE LÄN</t>
        </is>
      </c>
      <c r="E2304" t="inlineStr">
        <is>
          <t>BJUV</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13140-2024</t>
        </is>
      </c>
      <c r="B2305" s="1" t="n">
        <v>45386.34684027778</v>
      </c>
      <c r="C2305" s="1" t="n">
        <v>45962</v>
      </c>
      <c r="D2305" t="inlineStr">
        <is>
          <t>SKÅNE LÄN</t>
        </is>
      </c>
      <c r="E2305" t="inlineStr">
        <is>
          <t>ÖSTRA GÖINGE</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33358-2023</t>
        </is>
      </c>
      <c r="B2306" s="1" t="n">
        <v>45128</v>
      </c>
      <c r="C2306" s="1" t="n">
        <v>45962</v>
      </c>
      <c r="D2306" t="inlineStr">
        <is>
          <t>SKÅNE LÄN</t>
        </is>
      </c>
      <c r="E2306" t="inlineStr">
        <is>
          <t>HÖRBY</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14441-2023</t>
        </is>
      </c>
      <c r="B2307" s="1" t="n">
        <v>45012.58659722222</v>
      </c>
      <c r="C2307" s="1" t="n">
        <v>45962</v>
      </c>
      <c r="D2307" t="inlineStr">
        <is>
          <t>SKÅNE LÄN</t>
        </is>
      </c>
      <c r="E2307" t="inlineStr">
        <is>
          <t>KRISTIANSTAD</t>
        </is>
      </c>
      <c r="G2307" t="n">
        <v>4.7</v>
      </c>
      <c r="H2307" t="n">
        <v>0</v>
      </c>
      <c r="I2307" t="n">
        <v>0</v>
      </c>
      <c r="J2307" t="n">
        <v>0</v>
      </c>
      <c r="K2307" t="n">
        <v>0</v>
      </c>
      <c r="L2307" t="n">
        <v>0</v>
      </c>
      <c r="M2307" t="n">
        <v>0</v>
      </c>
      <c r="N2307" t="n">
        <v>0</v>
      </c>
      <c r="O2307" t="n">
        <v>0</v>
      </c>
      <c r="P2307" t="n">
        <v>0</v>
      </c>
      <c r="Q2307" t="n">
        <v>0</v>
      </c>
      <c r="R2307" s="2" t="inlineStr"/>
    </row>
    <row r="2308" ht="15" customHeight="1">
      <c r="A2308" t="inlineStr">
        <is>
          <t>A 20623-2025</t>
        </is>
      </c>
      <c r="B2308" s="1" t="n">
        <v>45776.32377314815</v>
      </c>
      <c r="C2308" s="1" t="n">
        <v>45962</v>
      </c>
      <c r="D2308" t="inlineStr">
        <is>
          <t>SKÅNE LÄN</t>
        </is>
      </c>
      <c r="E2308" t="inlineStr">
        <is>
          <t>ÄNGELHOLM</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12855-2023</t>
        </is>
      </c>
      <c r="B2309" s="1" t="n">
        <v>45001</v>
      </c>
      <c r="C2309" s="1" t="n">
        <v>45962</v>
      </c>
      <c r="D2309" t="inlineStr">
        <is>
          <t>SKÅNE LÄN</t>
        </is>
      </c>
      <c r="E2309" t="inlineStr">
        <is>
          <t>HÖÖR</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441-2022</t>
        </is>
      </c>
      <c r="B2310" s="1" t="n">
        <v>44565.97125</v>
      </c>
      <c r="C2310" s="1" t="n">
        <v>45962</v>
      </c>
      <c r="D2310" t="inlineStr">
        <is>
          <t>SKÅNE LÄN</t>
        </is>
      </c>
      <c r="E2310" t="inlineStr">
        <is>
          <t>HÄSSLEHOLM</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62144-2023</t>
        </is>
      </c>
      <c r="B2311" s="1" t="n">
        <v>45267.37601851852</v>
      </c>
      <c r="C2311" s="1" t="n">
        <v>45962</v>
      </c>
      <c r="D2311" t="inlineStr">
        <is>
          <t>SKÅNE LÄN</t>
        </is>
      </c>
      <c r="E2311" t="inlineStr">
        <is>
          <t>ÖSTRA GÖINGE</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9482-2023</t>
        </is>
      </c>
      <c r="B2312" s="1" t="n">
        <v>44981</v>
      </c>
      <c r="C2312" s="1" t="n">
        <v>45962</v>
      </c>
      <c r="D2312" t="inlineStr">
        <is>
          <t>SKÅNE LÄN</t>
        </is>
      </c>
      <c r="E2312" t="inlineStr">
        <is>
          <t>ESLÖV</t>
        </is>
      </c>
      <c r="G2312" t="n">
        <v>3.7</v>
      </c>
      <c r="H2312" t="n">
        <v>0</v>
      </c>
      <c r="I2312" t="n">
        <v>0</v>
      </c>
      <c r="J2312" t="n">
        <v>0</v>
      </c>
      <c r="K2312" t="n">
        <v>0</v>
      </c>
      <c r="L2312" t="n">
        <v>0</v>
      </c>
      <c r="M2312" t="n">
        <v>0</v>
      </c>
      <c r="N2312" t="n">
        <v>0</v>
      </c>
      <c r="O2312" t="n">
        <v>0</v>
      </c>
      <c r="P2312" t="n">
        <v>0</v>
      </c>
      <c r="Q2312" t="n">
        <v>0</v>
      </c>
      <c r="R2312" s="2" t="inlineStr"/>
    </row>
    <row r="2313" ht="15" customHeight="1">
      <c r="A2313" t="inlineStr">
        <is>
          <t>A 5136-2023</t>
        </is>
      </c>
      <c r="B2313" s="1" t="n">
        <v>44958</v>
      </c>
      <c r="C2313" s="1" t="n">
        <v>45962</v>
      </c>
      <c r="D2313" t="inlineStr">
        <is>
          <t>SKÅNE LÄN</t>
        </is>
      </c>
      <c r="E2313" t="inlineStr">
        <is>
          <t>ÖSTRA GÖINGE</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38724-2023</t>
        </is>
      </c>
      <c r="B2314" s="1" t="n">
        <v>45163</v>
      </c>
      <c r="C2314" s="1" t="n">
        <v>45962</v>
      </c>
      <c r="D2314" t="inlineStr">
        <is>
          <t>SKÅNE LÄN</t>
        </is>
      </c>
      <c r="E2314" t="inlineStr">
        <is>
          <t>KLIPPAN</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59369-2024</t>
        </is>
      </c>
      <c r="B2315" s="1" t="n">
        <v>45638.34212962963</v>
      </c>
      <c r="C2315" s="1" t="n">
        <v>45962</v>
      </c>
      <c r="D2315" t="inlineStr">
        <is>
          <t>SKÅNE LÄN</t>
        </is>
      </c>
      <c r="E2315" t="inlineStr">
        <is>
          <t>ÖSTRA GÖINGE</t>
        </is>
      </c>
      <c r="G2315" t="n">
        <v>3.2</v>
      </c>
      <c r="H2315" t="n">
        <v>0</v>
      </c>
      <c r="I2315" t="n">
        <v>0</v>
      </c>
      <c r="J2315" t="n">
        <v>0</v>
      </c>
      <c r="K2315" t="n">
        <v>0</v>
      </c>
      <c r="L2315" t="n">
        <v>0</v>
      </c>
      <c r="M2315" t="n">
        <v>0</v>
      </c>
      <c r="N2315" t="n">
        <v>0</v>
      </c>
      <c r="O2315" t="n">
        <v>0</v>
      </c>
      <c r="P2315" t="n">
        <v>0</v>
      </c>
      <c r="Q2315" t="n">
        <v>0</v>
      </c>
      <c r="R2315" s="2" t="inlineStr"/>
      <c r="U2315">
        <f>HYPERLINK("https://klasma.github.io/Logging_1256/knärot/A 59369-2024 karta knärot.png", "A 59369-2024")</f>
        <v/>
      </c>
      <c r="V2315">
        <f>HYPERLINK("https://klasma.github.io/Logging_1256/klagomål/A 59369-2024 FSC-klagomål.docx", "A 59369-2024")</f>
        <v/>
      </c>
      <c r="W2315">
        <f>HYPERLINK("https://klasma.github.io/Logging_1256/klagomålsmail/A 59369-2024 FSC-klagomål mail.docx", "A 59369-2024")</f>
        <v/>
      </c>
      <c r="X2315">
        <f>HYPERLINK("https://klasma.github.io/Logging_1256/tillsyn/A 59369-2024 tillsynsbegäran.docx", "A 59369-2024")</f>
        <v/>
      </c>
      <c r="Y2315">
        <f>HYPERLINK("https://klasma.github.io/Logging_1256/tillsynsmail/A 59369-2024 tillsynsbegäran mail.docx", "A 59369-2024")</f>
        <v/>
      </c>
    </row>
    <row r="2316" ht="15" customHeight="1">
      <c r="A2316" t="inlineStr">
        <is>
          <t>A 35742-2024</t>
        </is>
      </c>
      <c r="B2316" s="1" t="n">
        <v>45532</v>
      </c>
      <c r="C2316" s="1" t="n">
        <v>45962</v>
      </c>
      <c r="D2316" t="inlineStr">
        <is>
          <t>SKÅNE LÄN</t>
        </is>
      </c>
      <c r="E2316" t="inlineStr">
        <is>
          <t>TOMELILLA</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59763-2022</t>
        </is>
      </c>
      <c r="B2317" s="1" t="n">
        <v>44900</v>
      </c>
      <c r="C2317" s="1" t="n">
        <v>45962</v>
      </c>
      <c r="D2317" t="inlineStr">
        <is>
          <t>SKÅNE LÄN</t>
        </is>
      </c>
      <c r="E2317" t="inlineStr">
        <is>
          <t>HÄSSLEHOLM</t>
        </is>
      </c>
      <c r="F2317" t="inlineStr">
        <is>
          <t>Övriga Aktiebolag</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20714-2025</t>
        </is>
      </c>
      <c r="B2318" s="1" t="n">
        <v>45776</v>
      </c>
      <c r="C2318" s="1" t="n">
        <v>45962</v>
      </c>
      <c r="D2318" t="inlineStr">
        <is>
          <t>SKÅNE LÄN</t>
        </is>
      </c>
      <c r="E2318" t="inlineStr">
        <is>
          <t>KRISTIANSTAD</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3364-2023</t>
        </is>
      </c>
      <c r="B2319" s="1" t="n">
        <v>44949</v>
      </c>
      <c r="C2319" s="1" t="n">
        <v>45962</v>
      </c>
      <c r="D2319" t="inlineStr">
        <is>
          <t>SKÅNE LÄN</t>
        </is>
      </c>
      <c r="E2319" t="inlineStr">
        <is>
          <t>HÄSSLEHOLM</t>
        </is>
      </c>
      <c r="G2319" t="n">
        <v>5.1</v>
      </c>
      <c r="H2319" t="n">
        <v>0</v>
      </c>
      <c r="I2319" t="n">
        <v>0</v>
      </c>
      <c r="J2319" t="n">
        <v>0</v>
      </c>
      <c r="K2319" t="n">
        <v>0</v>
      </c>
      <c r="L2319" t="n">
        <v>0</v>
      </c>
      <c r="M2319" t="n">
        <v>0</v>
      </c>
      <c r="N2319" t="n">
        <v>0</v>
      </c>
      <c r="O2319" t="n">
        <v>0</v>
      </c>
      <c r="P2319" t="n">
        <v>0</v>
      </c>
      <c r="Q2319" t="n">
        <v>0</v>
      </c>
      <c r="R2319" s="2" t="inlineStr"/>
    </row>
    <row r="2320" ht="15" customHeight="1">
      <c r="A2320" t="inlineStr">
        <is>
          <t>A 29994-2023</t>
        </is>
      </c>
      <c r="B2320" s="1" t="n">
        <v>45109.60038194444</v>
      </c>
      <c r="C2320" s="1" t="n">
        <v>45962</v>
      </c>
      <c r="D2320" t="inlineStr">
        <is>
          <t>SKÅNE LÄN</t>
        </is>
      </c>
      <c r="E2320" t="inlineStr">
        <is>
          <t>HÄSSLEHOLM</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12603-2025</t>
        </is>
      </c>
      <c r="B2321" s="1" t="n">
        <v>45733</v>
      </c>
      <c r="C2321" s="1" t="n">
        <v>45962</v>
      </c>
      <c r="D2321" t="inlineStr">
        <is>
          <t>SKÅNE LÄN</t>
        </is>
      </c>
      <c r="E2321" t="inlineStr">
        <is>
          <t>OSBY</t>
        </is>
      </c>
      <c r="F2321" t="inlineStr">
        <is>
          <t>Sveaskog</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5887-2025</t>
        </is>
      </c>
      <c r="B2322" s="1" t="n">
        <v>45695.37925925926</v>
      </c>
      <c r="C2322" s="1" t="n">
        <v>45962</v>
      </c>
      <c r="D2322" t="inlineStr">
        <is>
          <t>SKÅNE LÄN</t>
        </is>
      </c>
      <c r="E2322" t="inlineStr">
        <is>
          <t>HÄSSLEHOLM</t>
        </is>
      </c>
      <c r="G2322" t="n">
        <v>4.8</v>
      </c>
      <c r="H2322" t="n">
        <v>0</v>
      </c>
      <c r="I2322" t="n">
        <v>0</v>
      </c>
      <c r="J2322" t="n">
        <v>0</v>
      </c>
      <c r="K2322" t="n">
        <v>0</v>
      </c>
      <c r="L2322" t="n">
        <v>0</v>
      </c>
      <c r="M2322" t="n">
        <v>0</v>
      </c>
      <c r="N2322" t="n">
        <v>0</v>
      </c>
      <c r="O2322" t="n">
        <v>0</v>
      </c>
      <c r="P2322" t="n">
        <v>0</v>
      </c>
      <c r="Q2322" t="n">
        <v>0</v>
      </c>
      <c r="R2322" s="2" t="inlineStr"/>
    </row>
    <row r="2323" ht="15" customHeight="1">
      <c r="A2323" t="inlineStr">
        <is>
          <t>A 52642-2021</t>
        </is>
      </c>
      <c r="B2323" s="1" t="n">
        <v>44466.64298611111</v>
      </c>
      <c r="C2323" s="1" t="n">
        <v>45962</v>
      </c>
      <c r="D2323" t="inlineStr">
        <is>
          <t>SKÅNE LÄN</t>
        </is>
      </c>
      <c r="E2323" t="inlineStr">
        <is>
          <t>HÄSSLEHOLM</t>
        </is>
      </c>
      <c r="G2323" t="n">
        <v>3.7</v>
      </c>
      <c r="H2323" t="n">
        <v>0</v>
      </c>
      <c r="I2323" t="n">
        <v>0</v>
      </c>
      <c r="J2323" t="n">
        <v>0</v>
      </c>
      <c r="K2323" t="n">
        <v>0</v>
      </c>
      <c r="L2323" t="n">
        <v>0</v>
      </c>
      <c r="M2323" t="n">
        <v>0</v>
      </c>
      <c r="N2323" t="n">
        <v>0</v>
      </c>
      <c r="O2323" t="n">
        <v>0</v>
      </c>
      <c r="P2323" t="n">
        <v>0</v>
      </c>
      <c r="Q2323" t="n">
        <v>0</v>
      </c>
      <c r="R2323" s="2" t="inlineStr"/>
    </row>
    <row r="2324" ht="15" customHeight="1">
      <c r="A2324" t="inlineStr">
        <is>
          <t>A 7509-2025</t>
        </is>
      </c>
      <c r="B2324" s="1" t="n">
        <v>45702</v>
      </c>
      <c r="C2324" s="1" t="n">
        <v>45962</v>
      </c>
      <c r="D2324" t="inlineStr">
        <is>
          <t>SKÅNE LÄN</t>
        </is>
      </c>
      <c r="E2324" t="inlineStr">
        <is>
          <t>PERSTORP</t>
        </is>
      </c>
      <c r="F2324" t="inlineStr">
        <is>
          <t>Övriga Aktiebolag</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36838-2024</t>
        </is>
      </c>
      <c r="B2325" s="1" t="n">
        <v>45538.52853009259</v>
      </c>
      <c r="C2325" s="1" t="n">
        <v>45962</v>
      </c>
      <c r="D2325" t="inlineStr">
        <is>
          <t>SKÅNE LÄN</t>
        </is>
      </c>
      <c r="E2325" t="inlineStr">
        <is>
          <t>ÖRKELLJUNGA</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47258-2021</t>
        </is>
      </c>
      <c r="B2326" s="1" t="n">
        <v>44446</v>
      </c>
      <c r="C2326" s="1" t="n">
        <v>45962</v>
      </c>
      <c r="D2326" t="inlineStr">
        <is>
          <t>SKÅNE LÄN</t>
        </is>
      </c>
      <c r="E2326" t="inlineStr">
        <is>
          <t>PERSTORP</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18540-2022</t>
        </is>
      </c>
      <c r="B2327" s="1" t="n">
        <v>44686.91196759259</v>
      </c>
      <c r="C2327" s="1" t="n">
        <v>45962</v>
      </c>
      <c r="D2327" t="inlineStr">
        <is>
          <t>SKÅNE LÄN</t>
        </is>
      </c>
      <c r="E2327" t="inlineStr">
        <is>
          <t>ÖSTRA GÖINGE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18121-2025</t>
        </is>
      </c>
      <c r="B2328" s="1" t="n">
        <v>45761</v>
      </c>
      <c r="C2328" s="1" t="n">
        <v>45962</v>
      </c>
      <c r="D2328" t="inlineStr">
        <is>
          <t>SKÅNE LÄN</t>
        </is>
      </c>
      <c r="E2328" t="inlineStr">
        <is>
          <t>SVALÖV</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58642-2021</t>
        </is>
      </c>
      <c r="B2329" s="1" t="n">
        <v>44489.36314814815</v>
      </c>
      <c r="C2329" s="1" t="n">
        <v>45962</v>
      </c>
      <c r="D2329" t="inlineStr">
        <is>
          <t>SKÅNE LÄN</t>
        </is>
      </c>
      <c r="E2329" t="inlineStr">
        <is>
          <t>KLIPPAN</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16215-2022</t>
        </is>
      </c>
      <c r="B2330" s="1" t="n">
        <v>44670</v>
      </c>
      <c r="C2330" s="1" t="n">
        <v>45962</v>
      </c>
      <c r="D2330" t="inlineStr">
        <is>
          <t>SKÅNE LÄN</t>
        </is>
      </c>
      <c r="E2330" t="inlineStr">
        <is>
          <t>SVALÖV</t>
        </is>
      </c>
      <c r="G2330" t="n">
        <v>2.9</v>
      </c>
      <c r="H2330" t="n">
        <v>0</v>
      </c>
      <c r="I2330" t="n">
        <v>0</v>
      </c>
      <c r="J2330" t="n">
        <v>0</v>
      </c>
      <c r="K2330" t="n">
        <v>0</v>
      </c>
      <c r="L2330" t="n">
        <v>0</v>
      </c>
      <c r="M2330" t="n">
        <v>0</v>
      </c>
      <c r="N2330" t="n">
        <v>0</v>
      </c>
      <c r="O2330" t="n">
        <v>0</v>
      </c>
      <c r="P2330" t="n">
        <v>0</v>
      </c>
      <c r="Q2330" t="n">
        <v>0</v>
      </c>
      <c r="R2330" s="2" t="inlineStr"/>
    </row>
    <row r="2331" ht="15" customHeight="1">
      <c r="A2331" t="inlineStr">
        <is>
          <t>A 36578-2022</t>
        </is>
      </c>
      <c r="B2331" s="1" t="n">
        <v>44804</v>
      </c>
      <c r="C2331" s="1" t="n">
        <v>45962</v>
      </c>
      <c r="D2331" t="inlineStr">
        <is>
          <t>SKÅNE LÄN</t>
        </is>
      </c>
      <c r="E2331" t="inlineStr">
        <is>
          <t>VELLINGE</t>
        </is>
      </c>
      <c r="G2331" t="n">
        <v>0.3</v>
      </c>
      <c r="H2331" t="n">
        <v>0</v>
      </c>
      <c r="I2331" t="n">
        <v>0</v>
      </c>
      <c r="J2331" t="n">
        <v>0</v>
      </c>
      <c r="K2331" t="n">
        <v>0</v>
      </c>
      <c r="L2331" t="n">
        <v>0</v>
      </c>
      <c r="M2331" t="n">
        <v>0</v>
      </c>
      <c r="N2331" t="n">
        <v>0</v>
      </c>
      <c r="O2331" t="n">
        <v>0</v>
      </c>
      <c r="P2331" t="n">
        <v>0</v>
      </c>
      <c r="Q2331" t="n">
        <v>0</v>
      </c>
      <c r="R2331" s="2" t="inlineStr"/>
    </row>
    <row r="2332" ht="15" customHeight="1">
      <c r="A2332" t="inlineStr">
        <is>
          <t>A 27085-2021</t>
        </is>
      </c>
      <c r="B2332" s="1" t="n">
        <v>44350.48686342593</v>
      </c>
      <c r="C2332" s="1" t="n">
        <v>45962</v>
      </c>
      <c r="D2332" t="inlineStr">
        <is>
          <t>SKÅNE LÄN</t>
        </is>
      </c>
      <c r="E2332" t="inlineStr">
        <is>
          <t>ÖSTRA GÖINGE</t>
        </is>
      </c>
      <c r="F2332" t="inlineStr">
        <is>
          <t>Sveaskog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60504-2023</t>
        </is>
      </c>
      <c r="B2333" s="1" t="n">
        <v>45259</v>
      </c>
      <c r="C2333" s="1" t="n">
        <v>45962</v>
      </c>
      <c r="D2333" t="inlineStr">
        <is>
          <t>SKÅNE LÄN</t>
        </is>
      </c>
      <c r="E2333" t="inlineStr">
        <is>
          <t>PERSTORP</t>
        </is>
      </c>
      <c r="F2333" t="inlineStr">
        <is>
          <t>Övriga Aktiebolag</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60519-2023</t>
        </is>
      </c>
      <c r="B2334" s="1" t="n">
        <v>45259</v>
      </c>
      <c r="C2334" s="1" t="n">
        <v>45962</v>
      </c>
      <c r="D2334" t="inlineStr">
        <is>
          <t>SKÅNE LÄN</t>
        </is>
      </c>
      <c r="E2334" t="inlineStr">
        <is>
          <t>ÖSTRA GÖINGE</t>
        </is>
      </c>
      <c r="G2334" t="n">
        <v>0.4</v>
      </c>
      <c r="H2334" t="n">
        <v>0</v>
      </c>
      <c r="I2334" t="n">
        <v>0</v>
      </c>
      <c r="J2334" t="n">
        <v>0</v>
      </c>
      <c r="K2334" t="n">
        <v>0</v>
      </c>
      <c r="L2334" t="n">
        <v>0</v>
      </c>
      <c r="M2334" t="n">
        <v>0</v>
      </c>
      <c r="N2334" t="n">
        <v>0</v>
      </c>
      <c r="O2334" t="n">
        <v>0</v>
      </c>
      <c r="P2334" t="n">
        <v>0</v>
      </c>
      <c r="Q2334" t="n">
        <v>0</v>
      </c>
      <c r="R2334" s="2" t="inlineStr"/>
    </row>
    <row r="2335" ht="15" customHeight="1">
      <c r="A2335" t="inlineStr">
        <is>
          <t>A 11379-2024</t>
        </is>
      </c>
      <c r="B2335" s="1" t="n">
        <v>45372.43756944445</v>
      </c>
      <c r="C2335" s="1" t="n">
        <v>45962</v>
      </c>
      <c r="D2335" t="inlineStr">
        <is>
          <t>SKÅNE LÄN</t>
        </is>
      </c>
      <c r="E2335" t="inlineStr">
        <is>
          <t>HÖÖR</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57856-2024</t>
        </is>
      </c>
      <c r="B2336" s="1" t="n">
        <v>45630</v>
      </c>
      <c r="C2336" s="1" t="n">
        <v>45962</v>
      </c>
      <c r="D2336" t="inlineStr">
        <is>
          <t>SKÅNE LÄN</t>
        </is>
      </c>
      <c r="E2336" t="inlineStr">
        <is>
          <t>OSBY</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20407-2024</t>
        </is>
      </c>
      <c r="B2337" s="1" t="n">
        <v>45435.57190972222</v>
      </c>
      <c r="C2337" s="1" t="n">
        <v>45962</v>
      </c>
      <c r="D2337" t="inlineStr">
        <is>
          <t>SKÅNE LÄN</t>
        </is>
      </c>
      <c r="E2337" t="inlineStr">
        <is>
          <t>ÖSTRA GÖINGE</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15562-2024</t>
        </is>
      </c>
      <c r="B2338" s="1" t="n">
        <v>45401.64975694445</v>
      </c>
      <c r="C2338" s="1" t="n">
        <v>45962</v>
      </c>
      <c r="D2338" t="inlineStr">
        <is>
          <t>SKÅNE LÄN</t>
        </is>
      </c>
      <c r="E2338" t="inlineStr">
        <is>
          <t>HÄSSLEHOLM</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15533-2024</t>
        </is>
      </c>
      <c r="B2339" s="1" t="n">
        <v>45401</v>
      </c>
      <c r="C2339" s="1" t="n">
        <v>45962</v>
      </c>
      <c r="D2339" t="inlineStr">
        <is>
          <t>SKÅNE LÄN</t>
        </is>
      </c>
      <c r="E2339" t="inlineStr">
        <is>
          <t>ESLÖV</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11887-2024</t>
        </is>
      </c>
      <c r="B2340" s="1" t="n">
        <v>45376.50527777777</v>
      </c>
      <c r="C2340" s="1" t="n">
        <v>45962</v>
      </c>
      <c r="D2340" t="inlineStr">
        <is>
          <t>SKÅNE LÄN</t>
        </is>
      </c>
      <c r="E2340" t="inlineStr">
        <is>
          <t>TOMELILLA</t>
        </is>
      </c>
      <c r="F2340" t="inlineStr">
        <is>
          <t>Övriga Aktiebolag</t>
        </is>
      </c>
      <c r="G2340" t="n">
        <v>6.3</v>
      </c>
      <c r="H2340" t="n">
        <v>0</v>
      </c>
      <c r="I2340" t="n">
        <v>0</v>
      </c>
      <c r="J2340" t="n">
        <v>0</v>
      </c>
      <c r="K2340" t="n">
        <v>0</v>
      </c>
      <c r="L2340" t="n">
        <v>0</v>
      </c>
      <c r="M2340" t="n">
        <v>0</v>
      </c>
      <c r="N2340" t="n">
        <v>0</v>
      </c>
      <c r="O2340" t="n">
        <v>0</v>
      </c>
      <c r="P2340" t="n">
        <v>0</v>
      </c>
      <c r="Q2340" t="n">
        <v>0</v>
      </c>
      <c r="R2340" s="2" t="inlineStr"/>
    </row>
    <row r="2341" ht="15" customHeight="1">
      <c r="A2341" t="inlineStr">
        <is>
          <t>A 35804-2023</t>
        </is>
      </c>
      <c r="B2341" s="1" t="n">
        <v>45148</v>
      </c>
      <c r="C2341" s="1" t="n">
        <v>45962</v>
      </c>
      <c r="D2341" t="inlineStr">
        <is>
          <t>SKÅNE LÄN</t>
        </is>
      </c>
      <c r="E2341" t="inlineStr">
        <is>
          <t>BROMÖLLA</t>
        </is>
      </c>
      <c r="G2341" t="n">
        <v>0.4</v>
      </c>
      <c r="H2341" t="n">
        <v>0</v>
      </c>
      <c r="I2341" t="n">
        <v>0</v>
      </c>
      <c r="J2341" t="n">
        <v>0</v>
      </c>
      <c r="K2341" t="n">
        <v>0</v>
      </c>
      <c r="L2341" t="n">
        <v>0</v>
      </c>
      <c r="M2341" t="n">
        <v>0</v>
      </c>
      <c r="N2341" t="n">
        <v>0</v>
      </c>
      <c r="O2341" t="n">
        <v>0</v>
      </c>
      <c r="P2341" t="n">
        <v>0</v>
      </c>
      <c r="Q2341" t="n">
        <v>0</v>
      </c>
      <c r="R2341" s="2" t="inlineStr"/>
    </row>
    <row r="2342" ht="15" customHeight="1">
      <c r="A2342" t="inlineStr">
        <is>
          <t>A 15887-2025</t>
        </is>
      </c>
      <c r="B2342" s="1" t="n">
        <v>45749.39954861111</v>
      </c>
      <c r="C2342" s="1" t="n">
        <v>45962</v>
      </c>
      <c r="D2342" t="inlineStr">
        <is>
          <t>SKÅNE LÄN</t>
        </is>
      </c>
      <c r="E2342" t="inlineStr">
        <is>
          <t>KRISTIANSTAD</t>
        </is>
      </c>
      <c r="G2342" t="n">
        <v>3.6</v>
      </c>
      <c r="H2342" t="n">
        <v>0</v>
      </c>
      <c r="I2342" t="n">
        <v>0</v>
      </c>
      <c r="J2342" t="n">
        <v>0</v>
      </c>
      <c r="K2342" t="n">
        <v>0</v>
      </c>
      <c r="L2342" t="n">
        <v>0</v>
      </c>
      <c r="M2342" t="n">
        <v>0</v>
      </c>
      <c r="N2342" t="n">
        <v>0</v>
      </c>
      <c r="O2342" t="n">
        <v>0</v>
      </c>
      <c r="P2342" t="n">
        <v>0</v>
      </c>
      <c r="Q2342" t="n">
        <v>0</v>
      </c>
      <c r="R2342" s="2" t="inlineStr"/>
    </row>
    <row r="2343" ht="15" customHeight="1">
      <c r="A2343" t="inlineStr">
        <is>
          <t>A 31525-2023</t>
        </is>
      </c>
      <c r="B2343" s="1" t="n">
        <v>45116</v>
      </c>
      <c r="C2343" s="1" t="n">
        <v>45962</v>
      </c>
      <c r="D2343" t="inlineStr">
        <is>
          <t>SKÅNE LÄN</t>
        </is>
      </c>
      <c r="E2343" t="inlineStr">
        <is>
          <t>KRISTIANSTAD</t>
        </is>
      </c>
      <c r="F2343" t="inlineStr">
        <is>
          <t>Sveaskog</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40388-2024</t>
        </is>
      </c>
      <c r="B2344" s="1" t="n">
        <v>45555.433125</v>
      </c>
      <c r="C2344" s="1" t="n">
        <v>45962</v>
      </c>
      <c r="D2344" t="inlineStr">
        <is>
          <t>SKÅNE LÄN</t>
        </is>
      </c>
      <c r="E2344" t="inlineStr">
        <is>
          <t>OSBY</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40423-2024</t>
        </is>
      </c>
      <c r="B2345" s="1" t="n">
        <v>45555</v>
      </c>
      <c r="C2345" s="1" t="n">
        <v>45962</v>
      </c>
      <c r="D2345" t="inlineStr">
        <is>
          <t>SKÅNE LÄN</t>
        </is>
      </c>
      <c r="E2345" t="inlineStr">
        <is>
          <t>KRISTIANSTAD</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14157-2021</t>
        </is>
      </c>
      <c r="B2346" s="1" t="n">
        <v>44278.43246527778</v>
      </c>
      <c r="C2346" s="1" t="n">
        <v>45962</v>
      </c>
      <c r="D2346" t="inlineStr">
        <is>
          <t>SKÅNE LÄN</t>
        </is>
      </c>
      <c r="E2346" t="inlineStr">
        <is>
          <t>HÄSSLEHOLM</t>
        </is>
      </c>
      <c r="G2346" t="n">
        <v>10.5</v>
      </c>
      <c r="H2346" t="n">
        <v>0</v>
      </c>
      <c r="I2346" t="n">
        <v>0</v>
      </c>
      <c r="J2346" t="n">
        <v>0</v>
      </c>
      <c r="K2346" t="n">
        <v>0</v>
      </c>
      <c r="L2346" t="n">
        <v>0</v>
      </c>
      <c r="M2346" t="n">
        <v>0</v>
      </c>
      <c r="N2346" t="n">
        <v>0</v>
      </c>
      <c r="O2346" t="n">
        <v>0</v>
      </c>
      <c r="P2346" t="n">
        <v>0</v>
      </c>
      <c r="Q2346" t="n">
        <v>0</v>
      </c>
      <c r="R2346" s="2" t="inlineStr"/>
    </row>
    <row r="2347" ht="15" customHeight="1">
      <c r="A2347" t="inlineStr">
        <is>
          <t>A 16399-2025</t>
        </is>
      </c>
      <c r="B2347" s="1" t="n">
        <v>45751</v>
      </c>
      <c r="C2347" s="1" t="n">
        <v>45962</v>
      </c>
      <c r="D2347" t="inlineStr">
        <is>
          <t>SKÅNE LÄN</t>
        </is>
      </c>
      <c r="E2347" t="inlineStr">
        <is>
          <t>KLIPPAN</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21206-2025</t>
        </is>
      </c>
      <c r="B2348" s="1" t="n">
        <v>45779.48318287037</v>
      </c>
      <c r="C2348" s="1" t="n">
        <v>45962</v>
      </c>
      <c r="D2348" t="inlineStr">
        <is>
          <t>SKÅNE LÄN</t>
        </is>
      </c>
      <c r="E2348" t="inlineStr">
        <is>
          <t>HÄSSLEHOLM</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32710-2023</t>
        </is>
      </c>
      <c r="B2349" s="1" t="n">
        <v>45121</v>
      </c>
      <c r="C2349" s="1" t="n">
        <v>45962</v>
      </c>
      <c r="D2349" t="inlineStr">
        <is>
          <t>SKÅNE LÄN</t>
        </is>
      </c>
      <c r="E2349" t="inlineStr">
        <is>
          <t>KRISTIANSTAD</t>
        </is>
      </c>
      <c r="F2349" t="inlineStr">
        <is>
          <t>Sveaskog</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55545-2022</t>
        </is>
      </c>
      <c r="B2350" s="1" t="n">
        <v>44887</v>
      </c>
      <c r="C2350" s="1" t="n">
        <v>45962</v>
      </c>
      <c r="D2350" t="inlineStr">
        <is>
          <t>SKÅNE LÄN</t>
        </is>
      </c>
      <c r="E2350" t="inlineStr">
        <is>
          <t>ÄNGELHOLM</t>
        </is>
      </c>
      <c r="G2350" t="n">
        <v>4.4</v>
      </c>
      <c r="H2350" t="n">
        <v>0</v>
      </c>
      <c r="I2350" t="n">
        <v>0</v>
      </c>
      <c r="J2350" t="n">
        <v>0</v>
      </c>
      <c r="K2350" t="n">
        <v>0</v>
      </c>
      <c r="L2350" t="n">
        <v>0</v>
      </c>
      <c r="M2350" t="n">
        <v>0</v>
      </c>
      <c r="N2350" t="n">
        <v>0</v>
      </c>
      <c r="O2350" t="n">
        <v>0</v>
      </c>
      <c r="P2350" t="n">
        <v>0</v>
      </c>
      <c r="Q2350" t="n">
        <v>0</v>
      </c>
      <c r="R2350" s="2" t="inlineStr"/>
    </row>
    <row r="2351" ht="15" customHeight="1">
      <c r="A2351" t="inlineStr">
        <is>
          <t>A 3158-2023</t>
        </is>
      </c>
      <c r="B2351" s="1" t="n">
        <v>44946.56618055556</v>
      </c>
      <c r="C2351" s="1" t="n">
        <v>45962</v>
      </c>
      <c r="D2351" t="inlineStr">
        <is>
          <t>SKÅNE LÄN</t>
        </is>
      </c>
      <c r="E2351" t="inlineStr">
        <is>
          <t>ÖSTRA GÖINGE</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10272-2023</t>
        </is>
      </c>
      <c r="B2352" s="1" t="n">
        <v>44986</v>
      </c>
      <c r="C2352" s="1" t="n">
        <v>45962</v>
      </c>
      <c r="D2352" t="inlineStr">
        <is>
          <t>SKÅNE LÄN</t>
        </is>
      </c>
      <c r="E2352" t="inlineStr">
        <is>
          <t>TOMELILLA</t>
        </is>
      </c>
      <c r="F2352" t="inlineStr">
        <is>
          <t>Övriga Aktiebolag</t>
        </is>
      </c>
      <c r="G2352" t="n">
        <v>7.7</v>
      </c>
      <c r="H2352" t="n">
        <v>0</v>
      </c>
      <c r="I2352" t="n">
        <v>0</v>
      </c>
      <c r="J2352" t="n">
        <v>0</v>
      </c>
      <c r="K2352" t="n">
        <v>0</v>
      </c>
      <c r="L2352" t="n">
        <v>0</v>
      </c>
      <c r="M2352" t="n">
        <v>0</v>
      </c>
      <c r="N2352" t="n">
        <v>0</v>
      </c>
      <c r="O2352" t="n">
        <v>0</v>
      </c>
      <c r="P2352" t="n">
        <v>0</v>
      </c>
      <c r="Q2352" t="n">
        <v>0</v>
      </c>
      <c r="R2352" s="2" t="inlineStr"/>
    </row>
    <row r="2353" ht="15" customHeight="1">
      <c r="A2353" t="inlineStr">
        <is>
          <t>A 3393-2024</t>
        </is>
      </c>
      <c r="B2353" s="1" t="n">
        <v>45318</v>
      </c>
      <c r="C2353" s="1" t="n">
        <v>45962</v>
      </c>
      <c r="D2353" t="inlineStr">
        <is>
          <t>SKÅNE LÄN</t>
        </is>
      </c>
      <c r="E2353" t="inlineStr">
        <is>
          <t>SIMRISHAMN</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3395-2024</t>
        </is>
      </c>
      <c r="B2354" s="1" t="n">
        <v>45318</v>
      </c>
      <c r="C2354" s="1" t="n">
        <v>45962</v>
      </c>
      <c r="D2354" t="inlineStr">
        <is>
          <t>SKÅNE LÄN</t>
        </is>
      </c>
      <c r="E2354" t="inlineStr">
        <is>
          <t>SIMRISHAMN</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18830-2021</t>
        </is>
      </c>
      <c r="B2355" s="1" t="n">
        <v>44307.68211805556</v>
      </c>
      <c r="C2355" s="1" t="n">
        <v>45962</v>
      </c>
      <c r="D2355" t="inlineStr">
        <is>
          <t>SKÅNE LÄN</t>
        </is>
      </c>
      <c r="E2355" t="inlineStr">
        <is>
          <t>KRISTIANSTAD</t>
        </is>
      </c>
      <c r="G2355" t="n">
        <v>4.6</v>
      </c>
      <c r="H2355" t="n">
        <v>0</v>
      </c>
      <c r="I2355" t="n">
        <v>0</v>
      </c>
      <c r="J2355" t="n">
        <v>0</v>
      </c>
      <c r="K2355" t="n">
        <v>0</v>
      </c>
      <c r="L2355" t="n">
        <v>0</v>
      </c>
      <c r="M2355" t="n">
        <v>0</v>
      </c>
      <c r="N2355" t="n">
        <v>0</v>
      </c>
      <c r="O2355" t="n">
        <v>0</v>
      </c>
      <c r="P2355" t="n">
        <v>0</v>
      </c>
      <c r="Q2355" t="n">
        <v>0</v>
      </c>
      <c r="R2355" s="2" t="inlineStr"/>
    </row>
    <row r="2356" ht="15" customHeight="1">
      <c r="A2356" t="inlineStr">
        <is>
          <t>A 54874-2022</t>
        </is>
      </c>
      <c r="B2356" s="1" t="n">
        <v>44881</v>
      </c>
      <c r="C2356" s="1" t="n">
        <v>45962</v>
      </c>
      <c r="D2356" t="inlineStr">
        <is>
          <t>SKÅNE LÄN</t>
        </is>
      </c>
      <c r="E2356" t="inlineStr">
        <is>
          <t>HÄSSLEHOLM</t>
        </is>
      </c>
      <c r="G2356" t="n">
        <v>8.1</v>
      </c>
      <c r="H2356" t="n">
        <v>0</v>
      </c>
      <c r="I2356" t="n">
        <v>0</v>
      </c>
      <c r="J2356" t="n">
        <v>0</v>
      </c>
      <c r="K2356" t="n">
        <v>0</v>
      </c>
      <c r="L2356" t="n">
        <v>0</v>
      </c>
      <c r="M2356" t="n">
        <v>0</v>
      </c>
      <c r="N2356" t="n">
        <v>0</v>
      </c>
      <c r="O2356" t="n">
        <v>0</v>
      </c>
      <c r="P2356" t="n">
        <v>0</v>
      </c>
      <c r="Q2356" t="n">
        <v>0</v>
      </c>
      <c r="R2356" s="2" t="inlineStr"/>
    </row>
    <row r="2357" ht="15" customHeight="1">
      <c r="A2357" t="inlineStr">
        <is>
          <t>A 48840-2023</t>
        </is>
      </c>
      <c r="B2357" s="1" t="n">
        <v>45209.40101851852</v>
      </c>
      <c r="C2357" s="1" t="n">
        <v>45962</v>
      </c>
      <c r="D2357" t="inlineStr">
        <is>
          <t>SKÅNE LÄN</t>
        </is>
      </c>
      <c r="E2357" t="inlineStr">
        <is>
          <t>OSBY</t>
        </is>
      </c>
      <c r="G2357" t="n">
        <v>7.9</v>
      </c>
      <c r="H2357" t="n">
        <v>0</v>
      </c>
      <c r="I2357" t="n">
        <v>0</v>
      </c>
      <c r="J2357" t="n">
        <v>0</v>
      </c>
      <c r="K2357" t="n">
        <v>0</v>
      </c>
      <c r="L2357" t="n">
        <v>0</v>
      </c>
      <c r="M2357" t="n">
        <v>0</v>
      </c>
      <c r="N2357" t="n">
        <v>0</v>
      </c>
      <c r="O2357" t="n">
        <v>0</v>
      </c>
      <c r="P2357" t="n">
        <v>0</v>
      </c>
      <c r="Q2357" t="n">
        <v>0</v>
      </c>
      <c r="R2357" s="2" t="inlineStr"/>
    </row>
    <row r="2358" ht="15" customHeight="1">
      <c r="A2358" t="inlineStr">
        <is>
          <t>A 48853-2023</t>
        </is>
      </c>
      <c r="B2358" s="1" t="n">
        <v>45204</v>
      </c>
      <c r="C2358" s="1" t="n">
        <v>45962</v>
      </c>
      <c r="D2358" t="inlineStr">
        <is>
          <t>SKÅNE LÄN</t>
        </is>
      </c>
      <c r="E2358" t="inlineStr">
        <is>
          <t>KRISTIANSTAD</t>
        </is>
      </c>
      <c r="G2358" t="n">
        <v>4.3</v>
      </c>
      <c r="H2358" t="n">
        <v>0</v>
      </c>
      <c r="I2358" t="n">
        <v>0</v>
      </c>
      <c r="J2358" t="n">
        <v>0</v>
      </c>
      <c r="K2358" t="n">
        <v>0</v>
      </c>
      <c r="L2358" t="n">
        <v>0</v>
      </c>
      <c r="M2358" t="n">
        <v>0</v>
      </c>
      <c r="N2358" t="n">
        <v>0</v>
      </c>
      <c r="O2358" t="n">
        <v>0</v>
      </c>
      <c r="P2358" t="n">
        <v>0</v>
      </c>
      <c r="Q2358" t="n">
        <v>0</v>
      </c>
      <c r="R2358" s="2" t="inlineStr"/>
    </row>
    <row r="2359" ht="15" customHeight="1">
      <c r="A2359" t="inlineStr">
        <is>
          <t>A 6262-2024</t>
        </is>
      </c>
      <c r="B2359" s="1" t="n">
        <v>45337</v>
      </c>
      <c r="C2359" s="1" t="n">
        <v>45962</v>
      </c>
      <c r="D2359" t="inlineStr">
        <is>
          <t>SKÅNE LÄN</t>
        </is>
      </c>
      <c r="E2359" t="inlineStr">
        <is>
          <t>TOMELILLA</t>
        </is>
      </c>
      <c r="G2359" t="n">
        <v>4.5</v>
      </c>
      <c r="H2359" t="n">
        <v>0</v>
      </c>
      <c r="I2359" t="n">
        <v>0</v>
      </c>
      <c r="J2359" t="n">
        <v>0</v>
      </c>
      <c r="K2359" t="n">
        <v>0</v>
      </c>
      <c r="L2359" t="n">
        <v>0</v>
      </c>
      <c r="M2359" t="n">
        <v>0</v>
      </c>
      <c r="N2359" t="n">
        <v>0</v>
      </c>
      <c r="O2359" t="n">
        <v>0</v>
      </c>
      <c r="P2359" t="n">
        <v>0</v>
      </c>
      <c r="Q2359" t="n">
        <v>0</v>
      </c>
      <c r="R2359" s="2" t="inlineStr"/>
    </row>
    <row r="2360" ht="15" customHeight="1">
      <c r="A2360" t="inlineStr">
        <is>
          <t>A 26339-2023</t>
        </is>
      </c>
      <c r="B2360" s="1" t="n">
        <v>45091.87535879629</v>
      </c>
      <c r="C2360" s="1" t="n">
        <v>45962</v>
      </c>
      <c r="D2360" t="inlineStr">
        <is>
          <t>SKÅNE LÄN</t>
        </is>
      </c>
      <c r="E2360" t="inlineStr">
        <is>
          <t>ÖSTRA GÖINGE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63891-2023</t>
        </is>
      </c>
      <c r="B2361" s="1" t="n">
        <v>45278</v>
      </c>
      <c r="C2361" s="1" t="n">
        <v>45962</v>
      </c>
      <c r="D2361" t="inlineStr">
        <is>
          <t>SKÅNE LÄN</t>
        </is>
      </c>
      <c r="E2361" t="inlineStr">
        <is>
          <t>ÖSTRA GÖINGE</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7262-2022</t>
        </is>
      </c>
      <c r="B2362" s="1" t="n">
        <v>44606</v>
      </c>
      <c r="C2362" s="1" t="n">
        <v>45962</v>
      </c>
      <c r="D2362" t="inlineStr">
        <is>
          <t>SKÅNE LÄN</t>
        </is>
      </c>
      <c r="E2362" t="inlineStr">
        <is>
          <t>HÄSSLEHOLM</t>
        </is>
      </c>
      <c r="F2362" t="inlineStr">
        <is>
          <t>Övriga Aktiebolag</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34983-2022</t>
        </is>
      </c>
      <c r="B2363" s="1" t="n">
        <v>44796.69704861111</v>
      </c>
      <c r="C2363" s="1" t="n">
        <v>45962</v>
      </c>
      <c r="D2363" t="inlineStr">
        <is>
          <t>SKÅNE LÄN</t>
        </is>
      </c>
      <c r="E2363" t="inlineStr">
        <is>
          <t>ÖSTRA GÖINGE</t>
        </is>
      </c>
      <c r="F2363" t="inlineStr">
        <is>
          <t>Kyrkan</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15568-2022</t>
        </is>
      </c>
      <c r="B2364" s="1" t="n">
        <v>44662</v>
      </c>
      <c r="C2364" s="1" t="n">
        <v>45962</v>
      </c>
      <c r="D2364" t="inlineStr">
        <is>
          <t>SKÅNE LÄN</t>
        </is>
      </c>
      <c r="E2364" t="inlineStr">
        <is>
          <t>OSBY</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9538-2023</t>
        </is>
      </c>
      <c r="B2365" s="1" t="n">
        <v>44981.74542824074</v>
      </c>
      <c r="C2365" s="1" t="n">
        <v>45962</v>
      </c>
      <c r="D2365" t="inlineStr">
        <is>
          <t>SKÅNE LÄN</t>
        </is>
      </c>
      <c r="E2365" t="inlineStr">
        <is>
          <t>ÖSTRA GÖINGE</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42192-2023</t>
        </is>
      </c>
      <c r="B2366" s="1" t="n">
        <v>45179.61063657407</v>
      </c>
      <c r="C2366" s="1" t="n">
        <v>45962</v>
      </c>
      <c r="D2366" t="inlineStr">
        <is>
          <t>SKÅNE LÄN</t>
        </is>
      </c>
      <c r="E2366" t="inlineStr">
        <is>
          <t>ÖSTRA GÖINGE</t>
        </is>
      </c>
      <c r="G2366" t="n">
        <v>0.4</v>
      </c>
      <c r="H2366" t="n">
        <v>0</v>
      </c>
      <c r="I2366" t="n">
        <v>0</v>
      </c>
      <c r="J2366" t="n">
        <v>0</v>
      </c>
      <c r="K2366" t="n">
        <v>0</v>
      </c>
      <c r="L2366" t="n">
        <v>0</v>
      </c>
      <c r="M2366" t="n">
        <v>0</v>
      </c>
      <c r="N2366" t="n">
        <v>0</v>
      </c>
      <c r="O2366" t="n">
        <v>0</v>
      </c>
      <c r="P2366" t="n">
        <v>0</v>
      </c>
      <c r="Q2366" t="n">
        <v>0</v>
      </c>
      <c r="R2366" s="2" t="inlineStr"/>
    </row>
    <row r="2367" ht="15" customHeight="1">
      <c r="A2367" t="inlineStr">
        <is>
          <t>A 9167-2025</t>
        </is>
      </c>
      <c r="B2367" s="1" t="n">
        <v>45714.3750462963</v>
      </c>
      <c r="C2367" s="1" t="n">
        <v>45962</v>
      </c>
      <c r="D2367" t="inlineStr">
        <is>
          <t>SKÅNE LÄN</t>
        </is>
      </c>
      <c r="E2367" t="inlineStr">
        <is>
          <t>BROMÖLLA</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49362-2024</t>
        </is>
      </c>
      <c r="B2368" s="1" t="n">
        <v>45595.62802083333</v>
      </c>
      <c r="C2368" s="1" t="n">
        <v>45962</v>
      </c>
      <c r="D2368" t="inlineStr">
        <is>
          <t>SKÅNE LÄN</t>
        </is>
      </c>
      <c r="E2368" t="inlineStr">
        <is>
          <t>ÖRKELLJUNGA</t>
        </is>
      </c>
      <c r="G2368" t="n">
        <v>3.1</v>
      </c>
      <c r="H2368" t="n">
        <v>0</v>
      </c>
      <c r="I2368" t="n">
        <v>0</v>
      </c>
      <c r="J2368" t="n">
        <v>0</v>
      </c>
      <c r="K2368" t="n">
        <v>0</v>
      </c>
      <c r="L2368" t="n">
        <v>0</v>
      </c>
      <c r="M2368" t="n">
        <v>0</v>
      </c>
      <c r="N2368" t="n">
        <v>0</v>
      </c>
      <c r="O2368" t="n">
        <v>0</v>
      </c>
      <c r="P2368" t="n">
        <v>0</v>
      </c>
      <c r="Q2368" t="n">
        <v>0</v>
      </c>
      <c r="R2368" s="2" t="inlineStr"/>
    </row>
    <row r="2369" ht="15" customHeight="1">
      <c r="A2369" t="inlineStr">
        <is>
          <t>A 9184-2025</t>
        </is>
      </c>
      <c r="B2369" s="1" t="n">
        <v>45714</v>
      </c>
      <c r="C2369" s="1" t="n">
        <v>45962</v>
      </c>
      <c r="D2369" t="inlineStr">
        <is>
          <t>SKÅNE LÄN</t>
        </is>
      </c>
      <c r="E2369" t="inlineStr">
        <is>
          <t>OSBY</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58848-2020</t>
        </is>
      </c>
      <c r="B2370" s="1" t="n">
        <v>44146</v>
      </c>
      <c r="C2370" s="1" t="n">
        <v>45962</v>
      </c>
      <c r="D2370" t="inlineStr">
        <is>
          <t>SKÅNE LÄN</t>
        </is>
      </c>
      <c r="E2370" t="inlineStr">
        <is>
          <t>KRISTIANSTAD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52959-2024</t>
        </is>
      </c>
      <c r="B2371" s="1" t="n">
        <v>45611</v>
      </c>
      <c r="C2371" s="1" t="n">
        <v>45962</v>
      </c>
      <c r="D2371" t="inlineStr">
        <is>
          <t>SKÅNE LÄN</t>
        </is>
      </c>
      <c r="E2371" t="inlineStr">
        <is>
          <t>SJÖBO</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17152-2025</t>
        </is>
      </c>
      <c r="B2372" s="1" t="n">
        <v>45756.33318287037</v>
      </c>
      <c r="C2372" s="1" t="n">
        <v>45962</v>
      </c>
      <c r="D2372" t="inlineStr">
        <is>
          <t>SKÅNE LÄN</t>
        </is>
      </c>
      <c r="E2372" t="inlineStr">
        <is>
          <t>HÄSSLEHOLM</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21713-2025</t>
        </is>
      </c>
      <c r="B2373" s="1" t="n">
        <v>45783.53788194444</v>
      </c>
      <c r="C2373" s="1" t="n">
        <v>45962</v>
      </c>
      <c r="D2373" t="inlineStr">
        <is>
          <t>SKÅNE LÄN</t>
        </is>
      </c>
      <c r="E2373" t="inlineStr">
        <is>
          <t>HÖRBY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21091-2025</t>
        </is>
      </c>
      <c r="B2374" s="1" t="n">
        <v>45777</v>
      </c>
      <c r="C2374" s="1" t="n">
        <v>45962</v>
      </c>
      <c r="D2374" t="inlineStr">
        <is>
          <t>SKÅNE LÄN</t>
        </is>
      </c>
      <c r="E2374" t="inlineStr">
        <is>
          <t>HÄSSLEHOLM</t>
        </is>
      </c>
      <c r="G2374" t="n">
        <v>3.4</v>
      </c>
      <c r="H2374" t="n">
        <v>0</v>
      </c>
      <c r="I2374" t="n">
        <v>0</v>
      </c>
      <c r="J2374" t="n">
        <v>0</v>
      </c>
      <c r="K2374" t="n">
        <v>0</v>
      </c>
      <c r="L2374" t="n">
        <v>0</v>
      </c>
      <c r="M2374" t="n">
        <v>0</v>
      </c>
      <c r="N2374" t="n">
        <v>0</v>
      </c>
      <c r="O2374" t="n">
        <v>0</v>
      </c>
      <c r="P2374" t="n">
        <v>0</v>
      </c>
      <c r="Q2374" t="n">
        <v>0</v>
      </c>
      <c r="R2374" s="2" t="inlineStr"/>
    </row>
    <row r="2375" ht="15" customHeight="1">
      <c r="A2375" t="inlineStr">
        <is>
          <t>A 46618-2023</t>
        </is>
      </c>
      <c r="B2375" s="1" t="n">
        <v>45194</v>
      </c>
      <c r="C2375" s="1" t="n">
        <v>45962</v>
      </c>
      <c r="D2375" t="inlineStr">
        <is>
          <t>SKÅNE LÄN</t>
        </is>
      </c>
      <c r="E2375" t="inlineStr">
        <is>
          <t>ÖSTRA GÖINGE</t>
        </is>
      </c>
      <c r="G2375" t="n">
        <v>1.7</v>
      </c>
      <c r="H2375" t="n">
        <v>0</v>
      </c>
      <c r="I2375" t="n">
        <v>0</v>
      </c>
      <c r="J2375" t="n">
        <v>0</v>
      </c>
      <c r="K2375" t="n">
        <v>0</v>
      </c>
      <c r="L2375" t="n">
        <v>0</v>
      </c>
      <c r="M2375" t="n">
        <v>0</v>
      </c>
      <c r="N2375" t="n">
        <v>0</v>
      </c>
      <c r="O2375" t="n">
        <v>0</v>
      </c>
      <c r="P2375" t="n">
        <v>0</v>
      </c>
      <c r="Q2375" t="n">
        <v>0</v>
      </c>
      <c r="R2375" s="2" t="inlineStr"/>
    </row>
    <row r="2376" ht="15" customHeight="1">
      <c r="A2376" t="inlineStr">
        <is>
          <t>A 57487-2023</t>
        </is>
      </c>
      <c r="B2376" s="1" t="n">
        <v>45246.40434027778</v>
      </c>
      <c r="C2376" s="1" t="n">
        <v>45962</v>
      </c>
      <c r="D2376" t="inlineStr">
        <is>
          <t>SKÅNE LÄN</t>
        </is>
      </c>
      <c r="E2376" t="inlineStr">
        <is>
          <t>ÖSTRA GÖINGE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16438-2023</t>
        </is>
      </c>
      <c r="B2377" s="1" t="n">
        <v>45029</v>
      </c>
      <c r="C2377" s="1" t="n">
        <v>45962</v>
      </c>
      <c r="D2377" t="inlineStr">
        <is>
          <t>SKÅNE LÄN</t>
        </is>
      </c>
      <c r="E2377" t="inlineStr">
        <is>
          <t>ÖSTRA GÖINGE</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59188-2022</t>
        </is>
      </c>
      <c r="B2378" s="1" t="n">
        <v>44897</v>
      </c>
      <c r="C2378" s="1" t="n">
        <v>45962</v>
      </c>
      <c r="D2378" t="inlineStr">
        <is>
          <t>SKÅNE LÄN</t>
        </is>
      </c>
      <c r="E2378" t="inlineStr">
        <is>
          <t>ÖSTRA GÖINGE</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317-2025</t>
        </is>
      </c>
      <c r="B2379" s="1" t="n">
        <v>45660</v>
      </c>
      <c r="C2379" s="1" t="n">
        <v>45962</v>
      </c>
      <c r="D2379" t="inlineStr">
        <is>
          <t>SKÅNE LÄN</t>
        </is>
      </c>
      <c r="E2379" t="inlineStr">
        <is>
          <t>HÄSSLEHOLM</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21638-2025</t>
        </is>
      </c>
      <c r="B2380" s="1" t="n">
        <v>45783.43087962963</v>
      </c>
      <c r="C2380" s="1" t="n">
        <v>45962</v>
      </c>
      <c r="D2380" t="inlineStr">
        <is>
          <t>SKÅNE LÄN</t>
        </is>
      </c>
      <c r="E2380" t="inlineStr">
        <is>
          <t>HÄSSLEHOLM</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34301-2024</t>
        </is>
      </c>
      <c r="B2381" s="1" t="n">
        <v>45524</v>
      </c>
      <c r="C2381" s="1" t="n">
        <v>45962</v>
      </c>
      <c r="D2381" t="inlineStr">
        <is>
          <t>SKÅNE LÄN</t>
        </is>
      </c>
      <c r="E2381" t="inlineStr">
        <is>
          <t>HÄSSLEHOLM</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27242-2022</t>
        </is>
      </c>
      <c r="B2382" s="1" t="n">
        <v>44741</v>
      </c>
      <c r="C2382" s="1" t="n">
        <v>45962</v>
      </c>
      <c r="D2382" t="inlineStr">
        <is>
          <t>SKÅNE LÄN</t>
        </is>
      </c>
      <c r="E2382" t="inlineStr">
        <is>
          <t>HÄSSLEHOLM</t>
        </is>
      </c>
      <c r="G2382" t="n">
        <v>1.9</v>
      </c>
      <c r="H2382" t="n">
        <v>0</v>
      </c>
      <c r="I2382" t="n">
        <v>0</v>
      </c>
      <c r="J2382" t="n">
        <v>0</v>
      </c>
      <c r="K2382" t="n">
        <v>0</v>
      </c>
      <c r="L2382" t="n">
        <v>0</v>
      </c>
      <c r="M2382" t="n">
        <v>0</v>
      </c>
      <c r="N2382" t="n">
        <v>0</v>
      </c>
      <c r="O2382" t="n">
        <v>0</v>
      </c>
      <c r="P2382" t="n">
        <v>0</v>
      </c>
      <c r="Q2382" t="n">
        <v>0</v>
      </c>
      <c r="R2382" s="2" t="inlineStr"/>
    </row>
    <row r="2383" ht="15" customHeight="1">
      <c r="A2383" t="inlineStr">
        <is>
          <t>A 52310-2023</t>
        </is>
      </c>
      <c r="B2383" s="1" t="n">
        <v>45224.62993055556</v>
      </c>
      <c r="C2383" s="1" t="n">
        <v>45962</v>
      </c>
      <c r="D2383" t="inlineStr">
        <is>
          <t>SKÅNE LÄN</t>
        </is>
      </c>
      <c r="E2383" t="inlineStr">
        <is>
          <t>HÖRBY</t>
        </is>
      </c>
      <c r="G2383" t="n">
        <v>3.5</v>
      </c>
      <c r="H2383" t="n">
        <v>0</v>
      </c>
      <c r="I2383" t="n">
        <v>0</v>
      </c>
      <c r="J2383" t="n">
        <v>0</v>
      </c>
      <c r="K2383" t="n">
        <v>0</v>
      </c>
      <c r="L2383" t="n">
        <v>0</v>
      </c>
      <c r="M2383" t="n">
        <v>0</v>
      </c>
      <c r="N2383" t="n">
        <v>0</v>
      </c>
      <c r="O2383" t="n">
        <v>0</v>
      </c>
      <c r="P2383" t="n">
        <v>0</v>
      </c>
      <c r="Q2383" t="n">
        <v>0</v>
      </c>
      <c r="R2383" s="2" t="inlineStr"/>
    </row>
    <row r="2384" ht="15" customHeight="1">
      <c r="A2384" t="inlineStr">
        <is>
          <t>A 61859-2023</t>
        </is>
      </c>
      <c r="B2384" s="1" t="n">
        <v>45265</v>
      </c>
      <c r="C2384" s="1" t="n">
        <v>45962</v>
      </c>
      <c r="D2384" t="inlineStr">
        <is>
          <t>SKÅNE LÄN</t>
        </is>
      </c>
      <c r="E2384" t="inlineStr">
        <is>
          <t>PERSTORP</t>
        </is>
      </c>
      <c r="F2384" t="inlineStr">
        <is>
          <t>Övriga Aktiebolag</t>
        </is>
      </c>
      <c r="G2384" t="n">
        <v>6.8</v>
      </c>
      <c r="H2384" t="n">
        <v>0</v>
      </c>
      <c r="I2384" t="n">
        <v>0</v>
      </c>
      <c r="J2384" t="n">
        <v>0</v>
      </c>
      <c r="K2384" t="n">
        <v>0</v>
      </c>
      <c r="L2384" t="n">
        <v>0</v>
      </c>
      <c r="M2384" t="n">
        <v>0</v>
      </c>
      <c r="N2384" t="n">
        <v>0</v>
      </c>
      <c r="O2384" t="n">
        <v>0</v>
      </c>
      <c r="P2384" t="n">
        <v>0</v>
      </c>
      <c r="Q2384" t="n">
        <v>0</v>
      </c>
      <c r="R2384" s="2" t="inlineStr"/>
    </row>
    <row r="2385" ht="15" customHeight="1">
      <c r="A2385" t="inlineStr">
        <is>
          <t>A 30101-2023</t>
        </is>
      </c>
      <c r="B2385" s="1" t="n">
        <v>45110.45901620371</v>
      </c>
      <c r="C2385" s="1" t="n">
        <v>45962</v>
      </c>
      <c r="D2385" t="inlineStr">
        <is>
          <t>SKÅNE LÄN</t>
        </is>
      </c>
      <c r="E2385" t="inlineStr">
        <is>
          <t>BROMÖLLA</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28071-2023</t>
        </is>
      </c>
      <c r="B2386" s="1" t="n">
        <v>45099.37755787037</v>
      </c>
      <c r="C2386" s="1" t="n">
        <v>45962</v>
      </c>
      <c r="D2386" t="inlineStr">
        <is>
          <t>SKÅNE LÄN</t>
        </is>
      </c>
      <c r="E2386" t="inlineStr">
        <is>
          <t>HÄSSLEHOLM</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5256-2022</t>
        </is>
      </c>
      <c r="B2387" s="1" t="n">
        <v>44593</v>
      </c>
      <c r="C2387" s="1" t="n">
        <v>45962</v>
      </c>
      <c r="D2387" t="inlineStr">
        <is>
          <t>SKÅNE LÄN</t>
        </is>
      </c>
      <c r="E2387" t="inlineStr">
        <is>
          <t>KLIPPAN</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21992-2024</t>
        </is>
      </c>
      <c r="B2388" s="1" t="n">
        <v>45443.55804398148</v>
      </c>
      <c r="C2388" s="1" t="n">
        <v>45962</v>
      </c>
      <c r="D2388" t="inlineStr">
        <is>
          <t>SKÅNE LÄN</t>
        </is>
      </c>
      <c r="E2388" t="inlineStr">
        <is>
          <t>KRISTIANSTAD</t>
        </is>
      </c>
      <c r="G2388" t="n">
        <v>1.4</v>
      </c>
      <c r="H2388" t="n">
        <v>0</v>
      </c>
      <c r="I2388" t="n">
        <v>0</v>
      </c>
      <c r="J2388" t="n">
        <v>0</v>
      </c>
      <c r="K2388" t="n">
        <v>0</v>
      </c>
      <c r="L2388" t="n">
        <v>0</v>
      </c>
      <c r="M2388" t="n">
        <v>0</v>
      </c>
      <c r="N2388" t="n">
        <v>0</v>
      </c>
      <c r="O2388" t="n">
        <v>0</v>
      </c>
      <c r="P2388" t="n">
        <v>0</v>
      </c>
      <c r="Q2388" t="n">
        <v>0</v>
      </c>
      <c r="R2388" s="2" t="inlineStr"/>
    </row>
    <row r="2389" ht="15" customHeight="1">
      <c r="A2389" t="inlineStr">
        <is>
          <t>A 55954-2023</t>
        </is>
      </c>
      <c r="B2389" s="1" t="n">
        <v>45233</v>
      </c>
      <c r="C2389" s="1" t="n">
        <v>45962</v>
      </c>
      <c r="D2389" t="inlineStr">
        <is>
          <t>SKÅNE LÄN</t>
        </is>
      </c>
      <c r="E2389" t="inlineStr">
        <is>
          <t>KRISTIANSTAD</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55959-2023</t>
        </is>
      </c>
      <c r="B2390" s="1" t="n">
        <v>45233</v>
      </c>
      <c r="C2390" s="1" t="n">
        <v>45962</v>
      </c>
      <c r="D2390" t="inlineStr">
        <is>
          <t>SKÅNE LÄN</t>
        </is>
      </c>
      <c r="E2390" t="inlineStr">
        <is>
          <t>KRISTIANSTAD</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6170-2021</t>
        </is>
      </c>
      <c r="B2391" s="1" t="n">
        <v>44232</v>
      </c>
      <c r="C2391" s="1" t="n">
        <v>45962</v>
      </c>
      <c r="D2391" t="inlineStr">
        <is>
          <t>SKÅNE LÄN</t>
        </is>
      </c>
      <c r="E2391" t="inlineStr">
        <is>
          <t>BÅSTAD</t>
        </is>
      </c>
      <c r="G2391" t="n">
        <v>5.1</v>
      </c>
      <c r="H2391" t="n">
        <v>0</v>
      </c>
      <c r="I2391" t="n">
        <v>0</v>
      </c>
      <c r="J2391" t="n">
        <v>0</v>
      </c>
      <c r="K2391" t="n">
        <v>0</v>
      </c>
      <c r="L2391" t="n">
        <v>0</v>
      </c>
      <c r="M2391" t="n">
        <v>0</v>
      </c>
      <c r="N2391" t="n">
        <v>0</v>
      </c>
      <c r="O2391" t="n">
        <v>0</v>
      </c>
      <c r="P2391" t="n">
        <v>0</v>
      </c>
      <c r="Q2391" t="n">
        <v>0</v>
      </c>
      <c r="R2391" s="2" t="inlineStr"/>
    </row>
    <row r="2392" ht="15" customHeight="1">
      <c r="A2392" t="inlineStr">
        <is>
          <t>A 18355-2025</t>
        </is>
      </c>
      <c r="B2392" s="1" t="n">
        <v>45762.55292824074</v>
      </c>
      <c r="C2392" s="1" t="n">
        <v>45962</v>
      </c>
      <c r="D2392" t="inlineStr">
        <is>
          <t>SKÅNE LÄN</t>
        </is>
      </c>
      <c r="E2392" t="inlineStr">
        <is>
          <t>ÖSTRA GÖINGE</t>
        </is>
      </c>
      <c r="G2392" t="n">
        <v>4.1</v>
      </c>
      <c r="H2392" t="n">
        <v>0</v>
      </c>
      <c r="I2392" t="n">
        <v>0</v>
      </c>
      <c r="J2392" t="n">
        <v>0</v>
      </c>
      <c r="K2392" t="n">
        <v>0</v>
      </c>
      <c r="L2392" t="n">
        <v>0</v>
      </c>
      <c r="M2392" t="n">
        <v>0</v>
      </c>
      <c r="N2392" t="n">
        <v>0</v>
      </c>
      <c r="O2392" t="n">
        <v>0</v>
      </c>
      <c r="P2392" t="n">
        <v>0</v>
      </c>
      <c r="Q2392" t="n">
        <v>0</v>
      </c>
      <c r="R2392" s="2" t="inlineStr"/>
    </row>
    <row r="2393" ht="15" customHeight="1">
      <c r="A2393" t="inlineStr">
        <is>
          <t>A 46469-2024</t>
        </is>
      </c>
      <c r="B2393" s="1" t="n">
        <v>45582</v>
      </c>
      <c r="C2393" s="1" t="n">
        <v>45962</v>
      </c>
      <c r="D2393" t="inlineStr">
        <is>
          <t>SKÅNE LÄN</t>
        </is>
      </c>
      <c r="E2393" t="inlineStr">
        <is>
          <t>KRISTIANSTAD</t>
        </is>
      </c>
      <c r="G2393" t="n">
        <v>3.1</v>
      </c>
      <c r="H2393" t="n">
        <v>0</v>
      </c>
      <c r="I2393" t="n">
        <v>0</v>
      </c>
      <c r="J2393" t="n">
        <v>0</v>
      </c>
      <c r="K2393" t="n">
        <v>0</v>
      </c>
      <c r="L2393" t="n">
        <v>0</v>
      </c>
      <c r="M2393" t="n">
        <v>0</v>
      </c>
      <c r="N2393" t="n">
        <v>0</v>
      </c>
      <c r="O2393" t="n">
        <v>0</v>
      </c>
      <c r="P2393" t="n">
        <v>0</v>
      </c>
      <c r="Q2393" t="n">
        <v>0</v>
      </c>
      <c r="R2393" s="2" t="inlineStr"/>
    </row>
    <row r="2394" ht="15" customHeight="1">
      <c r="A2394" t="inlineStr">
        <is>
          <t>A 18648-2021</t>
        </is>
      </c>
      <c r="B2394" s="1" t="n">
        <v>44306.70583333333</v>
      </c>
      <c r="C2394" s="1" t="n">
        <v>45962</v>
      </c>
      <c r="D2394" t="inlineStr">
        <is>
          <t>SKÅNE LÄN</t>
        </is>
      </c>
      <c r="E2394" t="inlineStr">
        <is>
          <t>HÄSSLEHOLM</t>
        </is>
      </c>
      <c r="G2394" t="n">
        <v>2.5</v>
      </c>
      <c r="H2394" t="n">
        <v>0</v>
      </c>
      <c r="I2394" t="n">
        <v>0</v>
      </c>
      <c r="J2394" t="n">
        <v>0</v>
      </c>
      <c r="K2394" t="n">
        <v>0</v>
      </c>
      <c r="L2394" t="n">
        <v>0</v>
      </c>
      <c r="M2394" t="n">
        <v>0</v>
      </c>
      <c r="N2394" t="n">
        <v>0</v>
      </c>
      <c r="O2394" t="n">
        <v>0</v>
      </c>
      <c r="P2394" t="n">
        <v>0</v>
      </c>
      <c r="Q2394" t="n">
        <v>0</v>
      </c>
      <c r="R2394" s="2" t="inlineStr"/>
    </row>
    <row r="2395" ht="15" customHeight="1">
      <c r="A2395" t="inlineStr">
        <is>
          <t>A 32201-2024</t>
        </is>
      </c>
      <c r="B2395" s="1" t="n">
        <v>45511.66358796296</v>
      </c>
      <c r="C2395" s="1" t="n">
        <v>45962</v>
      </c>
      <c r="D2395" t="inlineStr">
        <is>
          <t>SKÅNE LÄN</t>
        </is>
      </c>
      <c r="E2395" t="inlineStr">
        <is>
          <t>PERSTORP</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35715-2024</t>
        </is>
      </c>
      <c r="B2396" s="1" t="n">
        <v>45532</v>
      </c>
      <c r="C2396" s="1" t="n">
        <v>45962</v>
      </c>
      <c r="D2396" t="inlineStr">
        <is>
          <t>SKÅNE LÄN</t>
        </is>
      </c>
      <c r="E2396" t="inlineStr">
        <is>
          <t>TOMELILLA</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47843-2024</t>
        </is>
      </c>
      <c r="B2397" s="1" t="n">
        <v>45588.65604166667</v>
      </c>
      <c r="C2397" s="1" t="n">
        <v>45962</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21814-2025</t>
        </is>
      </c>
      <c r="B2398" s="1" t="n">
        <v>45783.72201388889</v>
      </c>
      <c r="C2398" s="1" t="n">
        <v>45962</v>
      </c>
      <c r="D2398" t="inlineStr">
        <is>
          <t>SKÅNE LÄN</t>
        </is>
      </c>
      <c r="E2398" t="inlineStr">
        <is>
          <t>SVALÖV</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47641-2023</t>
        </is>
      </c>
      <c r="B2399" s="1" t="n">
        <v>45203</v>
      </c>
      <c r="C2399" s="1" t="n">
        <v>45962</v>
      </c>
      <c r="D2399" t="inlineStr">
        <is>
          <t>SKÅNE LÄN</t>
        </is>
      </c>
      <c r="E2399" t="inlineStr">
        <is>
          <t>HÖRBY</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61158-2022</t>
        </is>
      </c>
      <c r="B2400" s="1" t="n">
        <v>44915.47112268519</v>
      </c>
      <c r="C2400" s="1" t="n">
        <v>45962</v>
      </c>
      <c r="D2400" t="inlineStr">
        <is>
          <t>SKÅNE LÄN</t>
        </is>
      </c>
      <c r="E2400" t="inlineStr">
        <is>
          <t>HÄSSLEHOLM</t>
        </is>
      </c>
      <c r="G2400" t="n">
        <v>8.4</v>
      </c>
      <c r="H2400" t="n">
        <v>0</v>
      </c>
      <c r="I2400" t="n">
        <v>0</v>
      </c>
      <c r="J2400" t="n">
        <v>0</v>
      </c>
      <c r="K2400" t="n">
        <v>0</v>
      </c>
      <c r="L2400" t="n">
        <v>0</v>
      </c>
      <c r="M2400" t="n">
        <v>0</v>
      </c>
      <c r="N2400" t="n">
        <v>0</v>
      </c>
      <c r="O2400" t="n">
        <v>0</v>
      </c>
      <c r="P2400" t="n">
        <v>0</v>
      </c>
      <c r="Q2400" t="n">
        <v>0</v>
      </c>
      <c r="R2400" s="2" t="inlineStr"/>
    </row>
    <row r="2401" ht="15" customHeight="1">
      <c r="A2401" t="inlineStr">
        <is>
          <t>A 61186-2022</t>
        </is>
      </c>
      <c r="B2401" s="1" t="n">
        <v>44915.50745370371</v>
      </c>
      <c r="C2401" s="1" t="n">
        <v>45962</v>
      </c>
      <c r="D2401" t="inlineStr">
        <is>
          <t>SKÅNE LÄN</t>
        </is>
      </c>
      <c r="E2401" t="inlineStr">
        <is>
          <t>HÄSSLEHOLM</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20635-2024</t>
        </is>
      </c>
      <c r="B2402" s="1" t="n">
        <v>45436</v>
      </c>
      <c r="C2402" s="1" t="n">
        <v>45962</v>
      </c>
      <c r="D2402" t="inlineStr">
        <is>
          <t>SKÅNE LÄN</t>
        </is>
      </c>
      <c r="E2402" t="inlineStr">
        <is>
          <t>ÄNGELHOLM</t>
        </is>
      </c>
      <c r="G2402" t="n">
        <v>4.8</v>
      </c>
      <c r="H2402" t="n">
        <v>0</v>
      </c>
      <c r="I2402" t="n">
        <v>0</v>
      </c>
      <c r="J2402" t="n">
        <v>0</v>
      </c>
      <c r="K2402" t="n">
        <v>0</v>
      </c>
      <c r="L2402" t="n">
        <v>0</v>
      </c>
      <c r="M2402" t="n">
        <v>0</v>
      </c>
      <c r="N2402" t="n">
        <v>0</v>
      </c>
      <c r="O2402" t="n">
        <v>0</v>
      </c>
      <c r="P2402" t="n">
        <v>0</v>
      </c>
      <c r="Q2402" t="n">
        <v>0</v>
      </c>
      <c r="R2402" s="2" t="inlineStr"/>
    </row>
    <row r="2403" ht="15" customHeight="1">
      <c r="A2403" t="inlineStr">
        <is>
          <t>A 23946-2023</t>
        </is>
      </c>
      <c r="B2403" s="1" t="n">
        <v>45078.61601851852</v>
      </c>
      <c r="C2403" s="1" t="n">
        <v>45962</v>
      </c>
      <c r="D2403" t="inlineStr">
        <is>
          <t>SKÅNE LÄN</t>
        </is>
      </c>
      <c r="E2403" t="inlineStr">
        <is>
          <t>HÄSSLEHOLM</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57782-2024</t>
        </is>
      </c>
      <c r="B2404" s="1" t="n">
        <v>45631.29098379629</v>
      </c>
      <c r="C2404" s="1" t="n">
        <v>45962</v>
      </c>
      <c r="D2404" t="inlineStr">
        <is>
          <t>SKÅNE LÄN</t>
        </is>
      </c>
      <c r="E2404" t="inlineStr">
        <is>
          <t>OSBY</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62055-2023</t>
        </is>
      </c>
      <c r="B2405" s="1" t="n">
        <v>45266.70287037037</v>
      </c>
      <c r="C2405" s="1" t="n">
        <v>45962</v>
      </c>
      <c r="D2405" t="inlineStr">
        <is>
          <t>SKÅNE LÄN</t>
        </is>
      </c>
      <c r="E2405" t="inlineStr">
        <is>
          <t>HÄSSLEHOLM</t>
        </is>
      </c>
      <c r="G2405" t="n">
        <v>5.2</v>
      </c>
      <c r="H2405" t="n">
        <v>0</v>
      </c>
      <c r="I2405" t="n">
        <v>0</v>
      </c>
      <c r="J2405" t="n">
        <v>0</v>
      </c>
      <c r="K2405" t="n">
        <v>0</v>
      </c>
      <c r="L2405" t="n">
        <v>0</v>
      </c>
      <c r="M2405" t="n">
        <v>0</v>
      </c>
      <c r="N2405" t="n">
        <v>0</v>
      </c>
      <c r="O2405" t="n">
        <v>0</v>
      </c>
      <c r="P2405" t="n">
        <v>0</v>
      </c>
      <c r="Q2405" t="n">
        <v>0</v>
      </c>
      <c r="R2405" s="2" t="inlineStr"/>
    </row>
    <row r="2406" ht="15" customHeight="1">
      <c r="A2406" t="inlineStr">
        <is>
          <t>A 39111-2023</t>
        </is>
      </c>
      <c r="B2406" s="1" t="n">
        <v>45164.87140046297</v>
      </c>
      <c r="C2406" s="1" t="n">
        <v>45962</v>
      </c>
      <c r="D2406" t="inlineStr">
        <is>
          <t>SKÅNE LÄN</t>
        </is>
      </c>
      <c r="E2406" t="inlineStr">
        <is>
          <t>HÄSSLEHOLM</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36689-2024</t>
        </is>
      </c>
      <c r="B2407" s="1" t="n">
        <v>45537</v>
      </c>
      <c r="C2407" s="1" t="n">
        <v>45962</v>
      </c>
      <c r="D2407" t="inlineStr">
        <is>
          <t>SKÅNE LÄN</t>
        </is>
      </c>
      <c r="E2407" t="inlineStr">
        <is>
          <t>HÖRBY</t>
        </is>
      </c>
      <c r="F2407" t="inlineStr">
        <is>
          <t>Sveaskog</t>
        </is>
      </c>
      <c r="G2407" t="n">
        <v>9.5</v>
      </c>
      <c r="H2407" t="n">
        <v>0</v>
      </c>
      <c r="I2407" t="n">
        <v>0</v>
      </c>
      <c r="J2407" t="n">
        <v>0</v>
      </c>
      <c r="K2407" t="n">
        <v>0</v>
      </c>
      <c r="L2407" t="n">
        <v>0</v>
      </c>
      <c r="M2407" t="n">
        <v>0</v>
      </c>
      <c r="N2407" t="n">
        <v>0</v>
      </c>
      <c r="O2407" t="n">
        <v>0</v>
      </c>
      <c r="P2407" t="n">
        <v>0</v>
      </c>
      <c r="Q2407" t="n">
        <v>0</v>
      </c>
      <c r="R2407" s="2" t="inlineStr"/>
    </row>
    <row r="2408" ht="15" customHeight="1">
      <c r="A2408" t="inlineStr">
        <is>
          <t>A 44817-2024</t>
        </is>
      </c>
      <c r="B2408" s="1" t="n">
        <v>45574</v>
      </c>
      <c r="C2408" s="1" t="n">
        <v>45962</v>
      </c>
      <c r="D2408" t="inlineStr">
        <is>
          <t>SKÅNE LÄN</t>
        </is>
      </c>
      <c r="E2408" t="inlineStr">
        <is>
          <t>KRISTIANSTAD</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9803-2024</t>
        </is>
      </c>
      <c r="B2409" s="1" t="n">
        <v>45362.83706018519</v>
      </c>
      <c r="C2409" s="1" t="n">
        <v>45962</v>
      </c>
      <c r="D2409" t="inlineStr">
        <is>
          <t>SKÅNE LÄN</t>
        </is>
      </c>
      <c r="E2409" t="inlineStr">
        <is>
          <t>OSBY</t>
        </is>
      </c>
      <c r="F2409" t="inlineStr">
        <is>
          <t>Sveaskog</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41459-2022</t>
        </is>
      </c>
      <c r="B2410" s="1" t="n">
        <v>44826.93372685185</v>
      </c>
      <c r="C2410" s="1" t="n">
        <v>45962</v>
      </c>
      <c r="D2410" t="inlineStr">
        <is>
          <t>SKÅNE LÄN</t>
        </is>
      </c>
      <c r="E2410" t="inlineStr">
        <is>
          <t>HÄSSLEHOLM</t>
        </is>
      </c>
      <c r="G2410" t="n">
        <v>2.3</v>
      </c>
      <c r="H2410" t="n">
        <v>0</v>
      </c>
      <c r="I2410" t="n">
        <v>0</v>
      </c>
      <c r="J2410" t="n">
        <v>0</v>
      </c>
      <c r="K2410" t="n">
        <v>0</v>
      </c>
      <c r="L2410" t="n">
        <v>0</v>
      </c>
      <c r="M2410" t="n">
        <v>0</v>
      </c>
      <c r="N2410" t="n">
        <v>0</v>
      </c>
      <c r="O2410" t="n">
        <v>0</v>
      </c>
      <c r="P2410" t="n">
        <v>0</v>
      </c>
      <c r="Q2410" t="n">
        <v>0</v>
      </c>
      <c r="R2410" s="2" t="inlineStr"/>
    </row>
    <row r="2411" ht="15" customHeight="1">
      <c r="A2411" t="inlineStr">
        <is>
          <t>A 54667-2023</t>
        </is>
      </c>
      <c r="B2411" s="1" t="n">
        <v>45235.62601851852</v>
      </c>
      <c r="C2411" s="1" t="n">
        <v>45962</v>
      </c>
      <c r="D2411" t="inlineStr">
        <is>
          <t>SKÅNE LÄN</t>
        </is>
      </c>
      <c r="E2411" t="inlineStr">
        <is>
          <t>ÖRKELLJUNGA</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54689-2023</t>
        </is>
      </c>
      <c r="B2412" s="1" t="n">
        <v>45235</v>
      </c>
      <c r="C2412" s="1" t="n">
        <v>45962</v>
      </c>
      <c r="D2412" t="inlineStr">
        <is>
          <t>SKÅNE LÄN</t>
        </is>
      </c>
      <c r="E2412" t="inlineStr">
        <is>
          <t>BROMÖLLA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20950-2023</t>
        </is>
      </c>
      <c r="B2413" s="1" t="n">
        <v>45061</v>
      </c>
      <c r="C2413" s="1" t="n">
        <v>45962</v>
      </c>
      <c r="D2413" t="inlineStr">
        <is>
          <t>SKÅNE LÄN</t>
        </is>
      </c>
      <c r="E2413" t="inlineStr">
        <is>
          <t>SIMRISHAMN</t>
        </is>
      </c>
      <c r="G2413" t="n">
        <v>6</v>
      </c>
      <c r="H2413" t="n">
        <v>0</v>
      </c>
      <c r="I2413" t="n">
        <v>0</v>
      </c>
      <c r="J2413" t="n">
        <v>0</v>
      </c>
      <c r="K2413" t="n">
        <v>0</v>
      </c>
      <c r="L2413" t="n">
        <v>0</v>
      </c>
      <c r="M2413" t="n">
        <v>0</v>
      </c>
      <c r="N2413" t="n">
        <v>0</v>
      </c>
      <c r="O2413" t="n">
        <v>0</v>
      </c>
      <c r="P2413" t="n">
        <v>0</v>
      </c>
      <c r="Q2413" t="n">
        <v>0</v>
      </c>
      <c r="R2413" s="2" t="inlineStr"/>
    </row>
    <row r="2414" ht="15" customHeight="1">
      <c r="A2414" t="inlineStr">
        <is>
          <t>A 59257-2022</t>
        </is>
      </c>
      <c r="B2414" s="1" t="n">
        <v>44904.58114583333</v>
      </c>
      <c r="C2414" s="1" t="n">
        <v>45962</v>
      </c>
      <c r="D2414" t="inlineStr">
        <is>
          <t>SKÅNE LÄN</t>
        </is>
      </c>
      <c r="E2414" t="inlineStr">
        <is>
          <t>OSBY</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60851-2024</t>
        </is>
      </c>
      <c r="B2415" s="1" t="n">
        <v>45644.66182870371</v>
      </c>
      <c r="C2415" s="1" t="n">
        <v>45962</v>
      </c>
      <c r="D2415" t="inlineStr">
        <is>
          <t>SKÅNE LÄN</t>
        </is>
      </c>
      <c r="E2415" t="inlineStr">
        <is>
          <t>HÄSSLEHOLM</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168-2025</t>
        </is>
      </c>
      <c r="B2416" s="1" t="n">
        <v>45659.64137731482</v>
      </c>
      <c r="C2416" s="1" t="n">
        <v>45962</v>
      </c>
      <c r="D2416" t="inlineStr">
        <is>
          <t>SKÅNE LÄN</t>
        </is>
      </c>
      <c r="E2416" t="inlineStr">
        <is>
          <t>ÖRKELLJUNGA</t>
        </is>
      </c>
      <c r="G2416" t="n">
        <v>6.9</v>
      </c>
      <c r="H2416" t="n">
        <v>0</v>
      </c>
      <c r="I2416" t="n">
        <v>0</v>
      </c>
      <c r="J2416" t="n">
        <v>0</v>
      </c>
      <c r="K2416" t="n">
        <v>0</v>
      </c>
      <c r="L2416" t="n">
        <v>0</v>
      </c>
      <c r="M2416" t="n">
        <v>0</v>
      </c>
      <c r="N2416" t="n">
        <v>0</v>
      </c>
      <c r="O2416" t="n">
        <v>0</v>
      </c>
      <c r="P2416" t="n">
        <v>0</v>
      </c>
      <c r="Q2416" t="n">
        <v>0</v>
      </c>
      <c r="R2416" s="2" t="inlineStr"/>
    </row>
    <row r="2417" ht="15" customHeight="1">
      <c r="A2417" t="inlineStr">
        <is>
          <t>A 6597-2025</t>
        </is>
      </c>
      <c r="B2417" s="1" t="n">
        <v>45700</v>
      </c>
      <c r="C2417" s="1" t="n">
        <v>45962</v>
      </c>
      <c r="D2417" t="inlineStr">
        <is>
          <t>SKÅNE LÄN</t>
        </is>
      </c>
      <c r="E2417" t="inlineStr">
        <is>
          <t>KRISTIANSTAD</t>
        </is>
      </c>
      <c r="G2417" t="n">
        <v>6</v>
      </c>
      <c r="H2417" t="n">
        <v>0</v>
      </c>
      <c r="I2417" t="n">
        <v>0</v>
      </c>
      <c r="J2417" t="n">
        <v>0</v>
      </c>
      <c r="K2417" t="n">
        <v>0</v>
      </c>
      <c r="L2417" t="n">
        <v>0</v>
      </c>
      <c r="M2417" t="n">
        <v>0</v>
      </c>
      <c r="N2417" t="n">
        <v>0</v>
      </c>
      <c r="O2417" t="n">
        <v>0</v>
      </c>
      <c r="P2417" t="n">
        <v>0</v>
      </c>
      <c r="Q2417" t="n">
        <v>0</v>
      </c>
      <c r="R2417" s="2" t="inlineStr"/>
    </row>
    <row r="2418" ht="15" customHeight="1">
      <c r="A2418" t="inlineStr">
        <is>
          <t>A 6602-2025</t>
        </is>
      </c>
      <c r="B2418" s="1" t="n">
        <v>45700</v>
      </c>
      <c r="C2418" s="1" t="n">
        <v>45962</v>
      </c>
      <c r="D2418" t="inlineStr">
        <is>
          <t>SKÅNE LÄN</t>
        </is>
      </c>
      <c r="E2418" t="inlineStr">
        <is>
          <t>KRISTIANSTAD</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58297-2020</t>
        </is>
      </c>
      <c r="B2419" s="1" t="n">
        <v>44144</v>
      </c>
      <c r="C2419" s="1" t="n">
        <v>45962</v>
      </c>
      <c r="D2419" t="inlineStr">
        <is>
          <t>SKÅNE LÄN</t>
        </is>
      </c>
      <c r="E2419" t="inlineStr">
        <is>
          <t>KRISTIANSTAD</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21507-2025</t>
        </is>
      </c>
      <c r="B2420" s="1" t="n">
        <v>45782.61987268519</v>
      </c>
      <c r="C2420" s="1" t="n">
        <v>45962</v>
      </c>
      <c r="D2420" t="inlineStr">
        <is>
          <t>SKÅNE LÄN</t>
        </is>
      </c>
      <c r="E2420" t="inlineStr">
        <is>
          <t>SVALÖV</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61402-2023</t>
        </is>
      </c>
      <c r="B2421" s="1" t="n">
        <v>45260</v>
      </c>
      <c r="C2421" s="1" t="n">
        <v>45962</v>
      </c>
      <c r="D2421" t="inlineStr">
        <is>
          <t>SKÅNE LÄN</t>
        </is>
      </c>
      <c r="E2421" t="inlineStr">
        <is>
          <t>KRISTIANSTAD</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21625-2025</t>
        </is>
      </c>
      <c r="B2422" s="1" t="n">
        <v>45783.41252314814</v>
      </c>
      <c r="C2422" s="1" t="n">
        <v>45962</v>
      </c>
      <c r="D2422" t="inlineStr">
        <is>
          <t>SKÅNE LÄN</t>
        </is>
      </c>
      <c r="E2422" t="inlineStr">
        <is>
          <t>HÄSSLEHOLM</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21541-2025</t>
        </is>
      </c>
      <c r="B2423" s="1" t="n">
        <v>45782.66538194445</v>
      </c>
      <c r="C2423" s="1" t="n">
        <v>45962</v>
      </c>
      <c r="D2423" t="inlineStr">
        <is>
          <t>SKÅNE LÄN</t>
        </is>
      </c>
      <c r="E2423" t="inlineStr">
        <is>
          <t>SVALÖV</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37571-2024</t>
        </is>
      </c>
      <c r="B2424" s="1" t="n">
        <v>45541.45120370371</v>
      </c>
      <c r="C2424" s="1" t="n">
        <v>45962</v>
      </c>
      <c r="D2424" t="inlineStr">
        <is>
          <t>SKÅNE LÄN</t>
        </is>
      </c>
      <c r="E2424" t="inlineStr">
        <is>
          <t>ÖSTRA GÖINGE</t>
        </is>
      </c>
      <c r="G2424" t="n">
        <v>10.4</v>
      </c>
      <c r="H2424" t="n">
        <v>0</v>
      </c>
      <c r="I2424" t="n">
        <v>0</v>
      </c>
      <c r="J2424" t="n">
        <v>0</v>
      </c>
      <c r="K2424" t="n">
        <v>0</v>
      </c>
      <c r="L2424" t="n">
        <v>0</v>
      </c>
      <c r="M2424" t="n">
        <v>0</v>
      </c>
      <c r="N2424" t="n">
        <v>0</v>
      </c>
      <c r="O2424" t="n">
        <v>0</v>
      </c>
      <c r="P2424" t="n">
        <v>0</v>
      </c>
      <c r="Q2424" t="n">
        <v>0</v>
      </c>
      <c r="R2424" s="2" t="inlineStr"/>
    </row>
    <row r="2425" ht="15" customHeight="1">
      <c r="A2425" t="inlineStr">
        <is>
          <t>A 37578-2024</t>
        </is>
      </c>
      <c r="B2425" s="1" t="n">
        <v>45541.4572800926</v>
      </c>
      <c r="C2425" s="1" t="n">
        <v>45962</v>
      </c>
      <c r="D2425" t="inlineStr">
        <is>
          <t>SKÅNE LÄN</t>
        </is>
      </c>
      <c r="E2425" t="inlineStr">
        <is>
          <t>ÖSTRA GÖINGE</t>
        </is>
      </c>
      <c r="G2425" t="n">
        <v>8.699999999999999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37589-2024</t>
        </is>
      </c>
      <c r="B2426" s="1" t="n">
        <v>45541.46791666667</v>
      </c>
      <c r="C2426" s="1" t="n">
        <v>45962</v>
      </c>
      <c r="D2426" t="inlineStr">
        <is>
          <t>SKÅNE LÄN</t>
        </is>
      </c>
      <c r="E2426" t="inlineStr">
        <is>
          <t>ÖSTRA GÖINGE</t>
        </is>
      </c>
      <c r="G2426" t="n">
        <v>4</v>
      </c>
      <c r="H2426" t="n">
        <v>0</v>
      </c>
      <c r="I2426" t="n">
        <v>0</v>
      </c>
      <c r="J2426" t="n">
        <v>0</v>
      </c>
      <c r="K2426" t="n">
        <v>0</v>
      </c>
      <c r="L2426" t="n">
        <v>0</v>
      </c>
      <c r="M2426" t="n">
        <v>0</v>
      </c>
      <c r="N2426" t="n">
        <v>0</v>
      </c>
      <c r="O2426" t="n">
        <v>0</v>
      </c>
      <c r="P2426" t="n">
        <v>0</v>
      </c>
      <c r="Q2426" t="n">
        <v>0</v>
      </c>
      <c r="R2426" s="2" t="inlineStr"/>
    </row>
    <row r="2427" ht="15" customHeight="1">
      <c r="A2427" t="inlineStr">
        <is>
          <t>A 21425-2022</t>
        </is>
      </c>
      <c r="B2427" s="1" t="n">
        <v>44706</v>
      </c>
      <c r="C2427" s="1" t="n">
        <v>45962</v>
      </c>
      <c r="D2427" t="inlineStr">
        <is>
          <t>SKÅNE LÄN</t>
        </is>
      </c>
      <c r="E2427" t="inlineStr">
        <is>
          <t>SJÖBO</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38319-2024</t>
        </is>
      </c>
      <c r="B2428" s="1" t="n">
        <v>45545.66203703704</v>
      </c>
      <c r="C2428" s="1" t="n">
        <v>45962</v>
      </c>
      <c r="D2428" t="inlineStr">
        <is>
          <t>SKÅNE LÄN</t>
        </is>
      </c>
      <c r="E2428" t="inlineStr">
        <is>
          <t>PERSTORP</t>
        </is>
      </c>
      <c r="G2428" t="n">
        <v>3.6</v>
      </c>
      <c r="H2428" t="n">
        <v>0</v>
      </c>
      <c r="I2428" t="n">
        <v>0</v>
      </c>
      <c r="J2428" t="n">
        <v>0</v>
      </c>
      <c r="K2428" t="n">
        <v>0</v>
      </c>
      <c r="L2428" t="n">
        <v>0</v>
      </c>
      <c r="M2428" t="n">
        <v>0</v>
      </c>
      <c r="N2428" t="n">
        <v>0</v>
      </c>
      <c r="O2428" t="n">
        <v>0</v>
      </c>
      <c r="P2428" t="n">
        <v>0</v>
      </c>
      <c r="Q2428" t="n">
        <v>0</v>
      </c>
      <c r="R2428" s="2" t="inlineStr"/>
    </row>
    <row r="2429" ht="15" customHeight="1">
      <c r="A2429" t="inlineStr">
        <is>
          <t>A 21556-2025</t>
        </is>
      </c>
      <c r="B2429" s="1" t="n">
        <v>45782.67826388889</v>
      </c>
      <c r="C2429" s="1" t="n">
        <v>45962</v>
      </c>
      <c r="D2429" t="inlineStr">
        <is>
          <t>SKÅNE LÄN</t>
        </is>
      </c>
      <c r="E2429" t="inlineStr">
        <is>
          <t>SVALÖV</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53807-2023</t>
        </is>
      </c>
      <c r="B2430" s="1" t="n">
        <v>45231</v>
      </c>
      <c r="C2430" s="1" t="n">
        <v>45962</v>
      </c>
      <c r="D2430" t="inlineStr">
        <is>
          <t>SKÅNE LÄN</t>
        </is>
      </c>
      <c r="E2430" t="inlineStr">
        <is>
          <t>HÖÖR</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51276-2024</t>
        </is>
      </c>
      <c r="B2431" s="1" t="n">
        <v>45603</v>
      </c>
      <c r="C2431" s="1" t="n">
        <v>45962</v>
      </c>
      <c r="D2431" t="inlineStr">
        <is>
          <t>SKÅNE LÄN</t>
        </is>
      </c>
      <c r="E2431" t="inlineStr">
        <is>
          <t>KLIPPAN</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19196-2021</t>
        </is>
      </c>
      <c r="B2432" s="1" t="n">
        <v>44308</v>
      </c>
      <c r="C2432" s="1" t="n">
        <v>45962</v>
      </c>
      <c r="D2432" t="inlineStr">
        <is>
          <t>SKÅNE LÄN</t>
        </is>
      </c>
      <c r="E2432" t="inlineStr">
        <is>
          <t>HÖÖR</t>
        </is>
      </c>
      <c r="G2432" t="n">
        <v>9.5</v>
      </c>
      <c r="H2432" t="n">
        <v>0</v>
      </c>
      <c r="I2432" t="n">
        <v>0</v>
      </c>
      <c r="J2432" t="n">
        <v>0</v>
      </c>
      <c r="K2432" t="n">
        <v>0</v>
      </c>
      <c r="L2432" t="n">
        <v>0</v>
      </c>
      <c r="M2432" t="n">
        <v>0</v>
      </c>
      <c r="N2432" t="n">
        <v>0</v>
      </c>
      <c r="O2432" t="n">
        <v>0</v>
      </c>
      <c r="P2432" t="n">
        <v>0</v>
      </c>
      <c r="Q2432" t="n">
        <v>0</v>
      </c>
      <c r="R2432" s="2" t="inlineStr"/>
    </row>
    <row r="2433" ht="15" customHeight="1">
      <c r="A2433" t="inlineStr">
        <is>
          <t>A 7818-2024</t>
        </is>
      </c>
      <c r="B2433" s="1" t="n">
        <v>45349.68872685185</v>
      </c>
      <c r="C2433" s="1" t="n">
        <v>45962</v>
      </c>
      <c r="D2433" t="inlineStr">
        <is>
          <t>SKÅNE LÄN</t>
        </is>
      </c>
      <c r="E2433" t="inlineStr">
        <is>
          <t>HÄSSLEHOLM</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21570-2025</t>
        </is>
      </c>
      <c r="B2434" s="1" t="n">
        <v>45782.75386574074</v>
      </c>
      <c r="C2434" s="1" t="n">
        <v>45962</v>
      </c>
      <c r="D2434" t="inlineStr">
        <is>
          <t>SKÅNE LÄN</t>
        </is>
      </c>
      <c r="E2434" t="inlineStr">
        <is>
          <t>OSBY</t>
        </is>
      </c>
      <c r="G2434" t="n">
        <v>15.1</v>
      </c>
      <c r="H2434" t="n">
        <v>0</v>
      </c>
      <c r="I2434" t="n">
        <v>0</v>
      </c>
      <c r="J2434" t="n">
        <v>0</v>
      </c>
      <c r="K2434" t="n">
        <v>0</v>
      </c>
      <c r="L2434" t="n">
        <v>0</v>
      </c>
      <c r="M2434" t="n">
        <v>0</v>
      </c>
      <c r="N2434" t="n">
        <v>0</v>
      </c>
      <c r="O2434" t="n">
        <v>0</v>
      </c>
      <c r="P2434" t="n">
        <v>0</v>
      </c>
      <c r="Q2434" t="n">
        <v>0</v>
      </c>
      <c r="R2434" s="2" t="inlineStr"/>
    </row>
    <row r="2435" ht="15" customHeight="1">
      <c r="A2435" t="inlineStr">
        <is>
          <t>A 40419-2024</t>
        </is>
      </c>
      <c r="B2435" s="1" t="n">
        <v>45555</v>
      </c>
      <c r="C2435" s="1" t="n">
        <v>45962</v>
      </c>
      <c r="D2435" t="inlineStr">
        <is>
          <t>SKÅNE LÄN</t>
        </is>
      </c>
      <c r="E2435" t="inlineStr">
        <is>
          <t>KRISTIANSTAD</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37710-2024</t>
        </is>
      </c>
      <c r="B2436" s="1" t="n">
        <v>45541.6287962963</v>
      </c>
      <c r="C2436" s="1" t="n">
        <v>45962</v>
      </c>
      <c r="D2436" t="inlineStr">
        <is>
          <t>SKÅNE LÄN</t>
        </is>
      </c>
      <c r="E2436" t="inlineStr">
        <is>
          <t>ÖSTRA GÖINGE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44538-2024</t>
        </is>
      </c>
      <c r="B2437" s="1" t="n">
        <v>45574</v>
      </c>
      <c r="C2437" s="1" t="n">
        <v>45962</v>
      </c>
      <c r="D2437" t="inlineStr">
        <is>
          <t>SKÅNE LÄN</t>
        </is>
      </c>
      <c r="E2437" t="inlineStr">
        <is>
          <t>KRISTIANSTAD</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65863-2020</t>
        </is>
      </c>
      <c r="B2438" s="1" t="n">
        <v>44173</v>
      </c>
      <c r="C2438" s="1" t="n">
        <v>45962</v>
      </c>
      <c r="D2438" t="inlineStr">
        <is>
          <t>SKÅNE LÄN</t>
        </is>
      </c>
      <c r="E2438" t="inlineStr">
        <is>
          <t>SVALÖV</t>
        </is>
      </c>
      <c r="G2438" t="n">
        <v>8.5</v>
      </c>
      <c r="H2438" t="n">
        <v>0</v>
      </c>
      <c r="I2438" t="n">
        <v>0</v>
      </c>
      <c r="J2438" t="n">
        <v>0</v>
      </c>
      <c r="K2438" t="n">
        <v>0</v>
      </c>
      <c r="L2438" t="n">
        <v>0</v>
      </c>
      <c r="M2438" t="n">
        <v>0</v>
      </c>
      <c r="N2438" t="n">
        <v>0</v>
      </c>
      <c r="O2438" t="n">
        <v>0</v>
      </c>
      <c r="P2438" t="n">
        <v>0</v>
      </c>
      <c r="Q2438" t="n">
        <v>0</v>
      </c>
      <c r="R2438" s="2" t="inlineStr"/>
    </row>
    <row r="2439" ht="15" customHeight="1">
      <c r="A2439" t="inlineStr">
        <is>
          <t>A 15768-2021</t>
        </is>
      </c>
      <c r="B2439" s="1" t="n">
        <v>44286</v>
      </c>
      <c r="C2439" s="1" t="n">
        <v>45962</v>
      </c>
      <c r="D2439" t="inlineStr">
        <is>
          <t>SKÅNE LÄN</t>
        </is>
      </c>
      <c r="E2439" t="inlineStr">
        <is>
          <t>HÖRBY</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22064-2025</t>
        </is>
      </c>
      <c r="B2440" s="1" t="n">
        <v>45785</v>
      </c>
      <c r="C2440" s="1" t="n">
        <v>45962</v>
      </c>
      <c r="D2440" t="inlineStr">
        <is>
          <t>SKÅNE LÄN</t>
        </is>
      </c>
      <c r="E2440" t="inlineStr">
        <is>
          <t>OSBY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56202-2023</t>
        </is>
      </c>
      <c r="B2441" s="1" t="n">
        <v>45240</v>
      </c>
      <c r="C2441" s="1" t="n">
        <v>45962</v>
      </c>
      <c r="D2441" t="inlineStr">
        <is>
          <t>SKÅNE LÄN</t>
        </is>
      </c>
      <c r="E2441" t="inlineStr">
        <is>
          <t>SVEDALA</t>
        </is>
      </c>
      <c r="G2441" t="n">
        <v>2.8</v>
      </c>
      <c r="H2441" t="n">
        <v>0</v>
      </c>
      <c r="I2441" t="n">
        <v>0</v>
      </c>
      <c r="J2441" t="n">
        <v>0</v>
      </c>
      <c r="K2441" t="n">
        <v>0</v>
      </c>
      <c r="L2441" t="n">
        <v>0</v>
      </c>
      <c r="M2441" t="n">
        <v>0</v>
      </c>
      <c r="N2441" t="n">
        <v>0</v>
      </c>
      <c r="O2441" t="n">
        <v>0</v>
      </c>
      <c r="P2441" t="n">
        <v>0</v>
      </c>
      <c r="Q2441" t="n">
        <v>0</v>
      </c>
      <c r="R2441" s="2" t="inlineStr"/>
    </row>
    <row r="2442" ht="15" customHeight="1">
      <c r="A2442" t="inlineStr">
        <is>
          <t>A 4089-2024</t>
        </is>
      </c>
      <c r="B2442" s="1" t="n">
        <v>45323</v>
      </c>
      <c r="C2442" s="1" t="n">
        <v>45962</v>
      </c>
      <c r="D2442" t="inlineStr">
        <is>
          <t>SKÅNE LÄN</t>
        </is>
      </c>
      <c r="E2442" t="inlineStr">
        <is>
          <t>ÄNGELHOLM</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13149-2024</t>
        </is>
      </c>
      <c r="B2443" s="1" t="n">
        <v>45386</v>
      </c>
      <c r="C2443" s="1" t="n">
        <v>45962</v>
      </c>
      <c r="D2443" t="inlineStr">
        <is>
          <t>SKÅNE LÄN</t>
        </is>
      </c>
      <c r="E2443" t="inlineStr">
        <is>
          <t>HÄSSLEHOLM</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8371-2022</t>
        </is>
      </c>
      <c r="B2444" s="1" t="n">
        <v>44610</v>
      </c>
      <c r="C2444" s="1" t="n">
        <v>45962</v>
      </c>
      <c r="D2444" t="inlineStr">
        <is>
          <t>SKÅNE LÄN</t>
        </is>
      </c>
      <c r="E2444" t="inlineStr">
        <is>
          <t>OSBY</t>
        </is>
      </c>
      <c r="G2444" t="n">
        <v>1.3</v>
      </c>
      <c r="H2444" t="n">
        <v>0</v>
      </c>
      <c r="I2444" t="n">
        <v>0</v>
      </c>
      <c r="J2444" t="n">
        <v>0</v>
      </c>
      <c r="K2444" t="n">
        <v>0</v>
      </c>
      <c r="L2444" t="n">
        <v>0</v>
      </c>
      <c r="M2444" t="n">
        <v>0</v>
      </c>
      <c r="N2444" t="n">
        <v>0</v>
      </c>
      <c r="O2444" t="n">
        <v>0</v>
      </c>
      <c r="P2444" t="n">
        <v>0</v>
      </c>
      <c r="Q2444" t="n">
        <v>0</v>
      </c>
      <c r="R2444" s="2" t="inlineStr"/>
    </row>
    <row r="2445" ht="15" customHeight="1">
      <c r="A2445" t="inlineStr">
        <is>
          <t>A 12182-2022</t>
        </is>
      </c>
      <c r="B2445" s="1" t="n">
        <v>44636.84741898148</v>
      </c>
      <c r="C2445" s="1" t="n">
        <v>45962</v>
      </c>
      <c r="D2445" t="inlineStr">
        <is>
          <t>SKÅNE LÄN</t>
        </is>
      </c>
      <c r="E2445" t="inlineStr">
        <is>
          <t>PERSTORP</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33465-2024</t>
        </is>
      </c>
      <c r="B2446" s="1" t="n">
        <v>45519.59619212963</v>
      </c>
      <c r="C2446" s="1" t="n">
        <v>45962</v>
      </c>
      <c r="D2446" t="inlineStr">
        <is>
          <t>SKÅNE LÄN</t>
        </is>
      </c>
      <c r="E2446" t="inlineStr">
        <is>
          <t>HÄSSLEHOLM</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21867-2025</t>
        </is>
      </c>
      <c r="B2447" s="1" t="n">
        <v>45784.37122685185</v>
      </c>
      <c r="C2447" s="1" t="n">
        <v>45962</v>
      </c>
      <c r="D2447" t="inlineStr">
        <is>
          <t>SKÅNE LÄN</t>
        </is>
      </c>
      <c r="E2447" t="inlineStr">
        <is>
          <t>ÖRKELLJUNGA</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29845-2024</t>
        </is>
      </c>
      <c r="B2448" s="1" t="n">
        <v>45485.6212037037</v>
      </c>
      <c r="C2448" s="1" t="n">
        <v>45962</v>
      </c>
      <c r="D2448" t="inlineStr">
        <is>
          <t>SKÅNE LÄN</t>
        </is>
      </c>
      <c r="E2448" t="inlineStr">
        <is>
          <t>HÄSSLEHOLM</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30109-2025</t>
        </is>
      </c>
      <c r="B2449" s="1" t="n">
        <v>45826</v>
      </c>
      <c r="C2449" s="1" t="n">
        <v>45962</v>
      </c>
      <c r="D2449" t="inlineStr">
        <is>
          <t>SKÅNE LÄN</t>
        </is>
      </c>
      <c r="E2449" t="inlineStr">
        <is>
          <t>HÄSSLEHOLM</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1703-2025</t>
        </is>
      </c>
      <c r="B2450" s="1" t="n">
        <v>45670.80732638889</v>
      </c>
      <c r="C2450" s="1" t="n">
        <v>45962</v>
      </c>
      <c r="D2450" t="inlineStr">
        <is>
          <t>SKÅNE LÄN</t>
        </is>
      </c>
      <c r="E2450" t="inlineStr">
        <is>
          <t>HÄSSLEHOLM</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8367-2022</t>
        </is>
      </c>
      <c r="B2451" s="1" t="n">
        <v>44610</v>
      </c>
      <c r="C2451" s="1" t="n">
        <v>45962</v>
      </c>
      <c r="D2451" t="inlineStr">
        <is>
          <t>SKÅNE LÄN</t>
        </is>
      </c>
      <c r="E2451" t="inlineStr">
        <is>
          <t>OSBY</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53978-2022</t>
        </is>
      </c>
      <c r="B2452" s="1" t="n">
        <v>44876</v>
      </c>
      <c r="C2452" s="1" t="n">
        <v>45962</v>
      </c>
      <c r="D2452" t="inlineStr">
        <is>
          <t>SKÅNE LÄN</t>
        </is>
      </c>
      <c r="E2452" t="inlineStr">
        <is>
          <t>SIMRISHAMN</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65018-2023</t>
        </is>
      </c>
      <c r="B2453" s="1" t="n">
        <v>45287</v>
      </c>
      <c r="C2453" s="1" t="n">
        <v>45962</v>
      </c>
      <c r="D2453" t="inlineStr">
        <is>
          <t>SKÅNE LÄN</t>
        </is>
      </c>
      <c r="E2453" t="inlineStr">
        <is>
          <t>KÄVLINGE</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40584-2024</t>
        </is>
      </c>
      <c r="B2454" s="1" t="n">
        <v>45555.74299768519</v>
      </c>
      <c r="C2454" s="1" t="n">
        <v>45962</v>
      </c>
      <c r="D2454" t="inlineStr">
        <is>
          <t>SKÅNE LÄN</t>
        </is>
      </c>
      <c r="E2454" t="inlineStr">
        <is>
          <t>SIMRISHAMN</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44728-2024</t>
        </is>
      </c>
      <c r="B2455" s="1" t="n">
        <v>45574.57978009259</v>
      </c>
      <c r="C2455" s="1" t="n">
        <v>45962</v>
      </c>
      <c r="D2455" t="inlineStr">
        <is>
          <t>SKÅNE LÄN</t>
        </is>
      </c>
      <c r="E2455" t="inlineStr">
        <is>
          <t>HÖÖR</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62365-2023</t>
        </is>
      </c>
      <c r="B2456" s="1" t="n">
        <v>45267</v>
      </c>
      <c r="C2456" s="1" t="n">
        <v>45962</v>
      </c>
      <c r="D2456" t="inlineStr">
        <is>
          <t>SKÅNE LÄN</t>
        </is>
      </c>
      <c r="E2456" t="inlineStr">
        <is>
          <t>KRISTIANSTAD</t>
        </is>
      </c>
      <c r="F2456" t="inlineStr">
        <is>
          <t>Sveaskog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62367-2023</t>
        </is>
      </c>
      <c r="B2457" s="1" t="n">
        <v>45267</v>
      </c>
      <c r="C2457" s="1" t="n">
        <v>45962</v>
      </c>
      <c r="D2457" t="inlineStr">
        <is>
          <t>SKÅNE LÄN</t>
        </is>
      </c>
      <c r="E2457" t="inlineStr">
        <is>
          <t>KRISTIANSTAD</t>
        </is>
      </c>
      <c r="F2457" t="inlineStr">
        <is>
          <t>Sveaskog</t>
        </is>
      </c>
      <c r="G2457" t="n">
        <v>5.2</v>
      </c>
      <c r="H2457" t="n">
        <v>0</v>
      </c>
      <c r="I2457" t="n">
        <v>0</v>
      </c>
      <c r="J2457" t="n">
        <v>0</v>
      </c>
      <c r="K2457" t="n">
        <v>0</v>
      </c>
      <c r="L2457" t="n">
        <v>0</v>
      </c>
      <c r="M2457" t="n">
        <v>0</v>
      </c>
      <c r="N2457" t="n">
        <v>0</v>
      </c>
      <c r="O2457" t="n">
        <v>0</v>
      </c>
      <c r="P2457" t="n">
        <v>0</v>
      </c>
      <c r="Q2457" t="n">
        <v>0</v>
      </c>
      <c r="R2457" s="2" t="inlineStr"/>
    </row>
    <row r="2458" ht="15" customHeight="1">
      <c r="A2458" t="inlineStr">
        <is>
          <t>A 61377-2024</t>
        </is>
      </c>
      <c r="B2458" s="1" t="n">
        <v>45646.39682870371</v>
      </c>
      <c r="C2458" s="1" t="n">
        <v>45962</v>
      </c>
      <c r="D2458" t="inlineStr">
        <is>
          <t>SKÅNE LÄN</t>
        </is>
      </c>
      <c r="E2458" t="inlineStr">
        <is>
          <t>HÖÖR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62496-2023</t>
        </is>
      </c>
      <c r="B2459" s="1" t="n">
        <v>45268</v>
      </c>
      <c r="C2459" s="1" t="n">
        <v>45962</v>
      </c>
      <c r="D2459" t="inlineStr">
        <is>
          <t>SKÅNE LÄN</t>
        </is>
      </c>
      <c r="E2459" t="inlineStr">
        <is>
          <t>ESLÖV</t>
        </is>
      </c>
      <c r="G2459" t="n">
        <v>2.6</v>
      </c>
      <c r="H2459" t="n">
        <v>0</v>
      </c>
      <c r="I2459" t="n">
        <v>0</v>
      </c>
      <c r="J2459" t="n">
        <v>0</v>
      </c>
      <c r="K2459" t="n">
        <v>0</v>
      </c>
      <c r="L2459" t="n">
        <v>0</v>
      </c>
      <c r="M2459" t="n">
        <v>0</v>
      </c>
      <c r="N2459" t="n">
        <v>0</v>
      </c>
      <c r="O2459" t="n">
        <v>0</v>
      </c>
      <c r="P2459" t="n">
        <v>0</v>
      </c>
      <c r="Q2459" t="n">
        <v>0</v>
      </c>
      <c r="R2459" s="2" t="inlineStr"/>
    </row>
    <row r="2460" ht="15" customHeight="1">
      <c r="A2460" t="inlineStr">
        <is>
          <t>A 57710-2024</t>
        </is>
      </c>
      <c r="B2460" s="1" t="n">
        <v>45630</v>
      </c>
      <c r="C2460" s="1" t="n">
        <v>45962</v>
      </c>
      <c r="D2460" t="inlineStr">
        <is>
          <t>SKÅNE LÄN</t>
        </is>
      </c>
      <c r="E2460" t="inlineStr">
        <is>
          <t>OSBY</t>
        </is>
      </c>
      <c r="G2460" t="n">
        <v>9.5</v>
      </c>
      <c r="H2460" t="n">
        <v>0</v>
      </c>
      <c r="I2460" t="n">
        <v>0</v>
      </c>
      <c r="J2460" t="n">
        <v>0</v>
      </c>
      <c r="K2460" t="n">
        <v>0</v>
      </c>
      <c r="L2460" t="n">
        <v>0</v>
      </c>
      <c r="M2460" t="n">
        <v>0</v>
      </c>
      <c r="N2460" t="n">
        <v>0</v>
      </c>
      <c r="O2460" t="n">
        <v>0</v>
      </c>
      <c r="P2460" t="n">
        <v>0</v>
      </c>
      <c r="Q2460" t="n">
        <v>0</v>
      </c>
      <c r="R2460" s="2" t="inlineStr"/>
    </row>
    <row r="2461" ht="15" customHeight="1">
      <c r="A2461" t="inlineStr">
        <is>
          <t>A 63456-2020</t>
        </is>
      </c>
      <c r="B2461" s="1" t="n">
        <v>44161</v>
      </c>
      <c r="C2461" s="1" t="n">
        <v>45962</v>
      </c>
      <c r="D2461" t="inlineStr">
        <is>
          <t>SKÅNE LÄN</t>
        </is>
      </c>
      <c r="E2461" t="inlineStr">
        <is>
          <t>KRISTIANSTAD</t>
        </is>
      </c>
      <c r="G2461" t="n">
        <v>0.5</v>
      </c>
      <c r="H2461" t="n">
        <v>0</v>
      </c>
      <c r="I2461" t="n">
        <v>0</v>
      </c>
      <c r="J2461" t="n">
        <v>0</v>
      </c>
      <c r="K2461" t="n">
        <v>0</v>
      </c>
      <c r="L2461" t="n">
        <v>0</v>
      </c>
      <c r="M2461" t="n">
        <v>0</v>
      </c>
      <c r="N2461" t="n">
        <v>0</v>
      </c>
      <c r="O2461" t="n">
        <v>0</v>
      </c>
      <c r="P2461" t="n">
        <v>0</v>
      </c>
      <c r="Q2461" t="n">
        <v>0</v>
      </c>
      <c r="R2461" s="2" t="inlineStr"/>
    </row>
    <row r="2462" ht="15" customHeight="1">
      <c r="A2462" t="inlineStr">
        <is>
          <t>A 58175-2021</t>
        </is>
      </c>
      <c r="B2462" s="1" t="n">
        <v>44487</v>
      </c>
      <c r="C2462" s="1" t="n">
        <v>45962</v>
      </c>
      <c r="D2462" t="inlineStr">
        <is>
          <t>SKÅNE LÄN</t>
        </is>
      </c>
      <c r="E2462" t="inlineStr">
        <is>
          <t>KRISTIANSTAD</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26642-2023</t>
        </is>
      </c>
      <c r="B2463" s="1" t="n">
        <v>45092.8975</v>
      </c>
      <c r="C2463" s="1" t="n">
        <v>45962</v>
      </c>
      <c r="D2463" t="inlineStr">
        <is>
          <t>SKÅNE LÄN</t>
        </is>
      </c>
      <c r="E2463" t="inlineStr">
        <is>
          <t>HÄSSLEHOLM</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33254-2024</t>
        </is>
      </c>
      <c r="B2464" s="1" t="n">
        <v>45518</v>
      </c>
      <c r="C2464" s="1" t="n">
        <v>45962</v>
      </c>
      <c r="D2464" t="inlineStr">
        <is>
          <t>SKÅNE LÄN</t>
        </is>
      </c>
      <c r="E2464" t="inlineStr">
        <is>
          <t>OSBY</t>
        </is>
      </c>
      <c r="F2464" t="inlineStr">
        <is>
          <t>Naturvårdsverket</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60251-2022</t>
        </is>
      </c>
      <c r="B2465" s="1" t="n">
        <v>44910</v>
      </c>
      <c r="C2465" s="1" t="n">
        <v>45962</v>
      </c>
      <c r="D2465" t="inlineStr">
        <is>
          <t>SKÅNE LÄN</t>
        </is>
      </c>
      <c r="E2465" t="inlineStr">
        <is>
          <t>ÖSTRA GÖINGE</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21881-2024</t>
        </is>
      </c>
      <c r="B2466" s="1" t="n">
        <v>45443.29864583333</v>
      </c>
      <c r="C2466" s="1" t="n">
        <v>45962</v>
      </c>
      <c r="D2466" t="inlineStr">
        <is>
          <t>SKÅNE LÄN</t>
        </is>
      </c>
      <c r="E2466" t="inlineStr">
        <is>
          <t>OSBY</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53466-2024</t>
        </is>
      </c>
      <c r="B2467" s="1" t="n">
        <v>45614.55304398148</v>
      </c>
      <c r="C2467" s="1" t="n">
        <v>45962</v>
      </c>
      <c r="D2467" t="inlineStr">
        <is>
          <t>SKÅNE LÄN</t>
        </is>
      </c>
      <c r="E2467" t="inlineStr">
        <is>
          <t>HÄSSLEHOLM</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40173-2024</t>
        </is>
      </c>
      <c r="B2468" s="1" t="n">
        <v>45554.55435185185</v>
      </c>
      <c r="C2468" s="1" t="n">
        <v>45962</v>
      </c>
      <c r="D2468" t="inlineStr">
        <is>
          <t>SKÅNE LÄN</t>
        </is>
      </c>
      <c r="E2468" t="inlineStr">
        <is>
          <t>KLIPPAN</t>
        </is>
      </c>
      <c r="F2468" t="inlineStr">
        <is>
          <t>Sveaskog</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61533-2024</t>
        </is>
      </c>
      <c r="B2469" s="1" t="n">
        <v>45646</v>
      </c>
      <c r="C2469" s="1" t="n">
        <v>45962</v>
      </c>
      <c r="D2469" t="inlineStr">
        <is>
          <t>SKÅNE LÄN</t>
        </is>
      </c>
      <c r="E2469" t="inlineStr">
        <is>
          <t>HÄSSLEHOLM</t>
        </is>
      </c>
      <c r="G2469" t="n">
        <v>4.5</v>
      </c>
      <c r="H2469" t="n">
        <v>0</v>
      </c>
      <c r="I2469" t="n">
        <v>0</v>
      </c>
      <c r="J2469" t="n">
        <v>0</v>
      </c>
      <c r="K2469" t="n">
        <v>0</v>
      </c>
      <c r="L2469" t="n">
        <v>0</v>
      </c>
      <c r="M2469" t="n">
        <v>0</v>
      </c>
      <c r="N2469" t="n">
        <v>0</v>
      </c>
      <c r="O2469" t="n">
        <v>0</v>
      </c>
      <c r="P2469" t="n">
        <v>0</v>
      </c>
      <c r="Q2469" t="n">
        <v>0</v>
      </c>
      <c r="R2469" s="2" t="inlineStr"/>
    </row>
    <row r="2470" ht="15" customHeight="1">
      <c r="A2470" t="inlineStr">
        <is>
          <t>A 29847-2024</t>
        </is>
      </c>
      <c r="B2470" s="1" t="n">
        <v>45485.6278587963</v>
      </c>
      <c r="C2470" s="1" t="n">
        <v>45962</v>
      </c>
      <c r="D2470" t="inlineStr">
        <is>
          <t>SKÅNE LÄN</t>
        </is>
      </c>
      <c r="E2470" t="inlineStr">
        <is>
          <t>HÄSSLEHOLM</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22203-2025</t>
        </is>
      </c>
      <c r="B2471" s="1" t="n">
        <v>45785.65381944444</v>
      </c>
      <c r="C2471" s="1" t="n">
        <v>45962</v>
      </c>
      <c r="D2471" t="inlineStr">
        <is>
          <t>SKÅNE LÄN</t>
        </is>
      </c>
      <c r="E2471" t="inlineStr">
        <is>
          <t>SVALÖV</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9368-2023</t>
        </is>
      </c>
      <c r="B2472" s="1" t="n">
        <v>44981</v>
      </c>
      <c r="C2472" s="1" t="n">
        <v>45962</v>
      </c>
      <c r="D2472" t="inlineStr">
        <is>
          <t>SKÅNE LÄN</t>
        </is>
      </c>
      <c r="E2472" t="inlineStr">
        <is>
          <t>PERSTORP</t>
        </is>
      </c>
      <c r="G2472" t="n">
        <v>3.9</v>
      </c>
      <c r="H2472" t="n">
        <v>0</v>
      </c>
      <c r="I2472" t="n">
        <v>0</v>
      </c>
      <c r="J2472" t="n">
        <v>0</v>
      </c>
      <c r="K2472" t="n">
        <v>0</v>
      </c>
      <c r="L2472" t="n">
        <v>0</v>
      </c>
      <c r="M2472" t="n">
        <v>0</v>
      </c>
      <c r="N2472" t="n">
        <v>0</v>
      </c>
      <c r="O2472" t="n">
        <v>0</v>
      </c>
      <c r="P2472" t="n">
        <v>0</v>
      </c>
      <c r="Q2472" t="n">
        <v>0</v>
      </c>
      <c r="R2472" s="2" t="inlineStr"/>
    </row>
    <row r="2473" ht="15" customHeight="1">
      <c r="A2473" t="inlineStr">
        <is>
          <t>A 61701-2024</t>
        </is>
      </c>
      <c r="B2473" s="1" t="n">
        <v>45648.28662037037</v>
      </c>
      <c r="C2473" s="1" t="n">
        <v>45962</v>
      </c>
      <c r="D2473" t="inlineStr">
        <is>
          <t>SKÅNE LÄN</t>
        </is>
      </c>
      <c r="E2473" t="inlineStr">
        <is>
          <t>KRISTIANSTAD</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38778-2022</t>
        </is>
      </c>
      <c r="B2474" s="1" t="n">
        <v>44816</v>
      </c>
      <c r="C2474" s="1" t="n">
        <v>45962</v>
      </c>
      <c r="D2474" t="inlineStr">
        <is>
          <t>SKÅNE LÄN</t>
        </is>
      </c>
      <c r="E2474" t="inlineStr">
        <is>
          <t>KRISTIANSTAD</t>
        </is>
      </c>
      <c r="G2474" t="n">
        <v>17.1</v>
      </c>
      <c r="H2474" t="n">
        <v>0</v>
      </c>
      <c r="I2474" t="n">
        <v>0</v>
      </c>
      <c r="J2474" t="n">
        <v>0</v>
      </c>
      <c r="K2474" t="n">
        <v>0</v>
      </c>
      <c r="L2474" t="n">
        <v>0</v>
      </c>
      <c r="M2474" t="n">
        <v>0</v>
      </c>
      <c r="N2474" t="n">
        <v>0</v>
      </c>
      <c r="O2474" t="n">
        <v>0</v>
      </c>
      <c r="P2474" t="n">
        <v>0</v>
      </c>
      <c r="Q2474" t="n">
        <v>0</v>
      </c>
      <c r="R2474" s="2" t="inlineStr"/>
    </row>
    <row r="2475" ht="15" customHeight="1">
      <c r="A2475" t="inlineStr">
        <is>
          <t>A 19735-2023</t>
        </is>
      </c>
      <c r="B2475" s="1" t="n">
        <v>45051.52199074074</v>
      </c>
      <c r="C2475" s="1" t="n">
        <v>45962</v>
      </c>
      <c r="D2475" t="inlineStr">
        <is>
          <t>SKÅNE LÄN</t>
        </is>
      </c>
      <c r="E2475" t="inlineStr">
        <is>
          <t>HÄSSLEHOLM</t>
        </is>
      </c>
      <c r="G2475" t="n">
        <v>4</v>
      </c>
      <c r="H2475" t="n">
        <v>0</v>
      </c>
      <c r="I2475" t="n">
        <v>0</v>
      </c>
      <c r="J2475" t="n">
        <v>0</v>
      </c>
      <c r="K2475" t="n">
        <v>0</v>
      </c>
      <c r="L2475" t="n">
        <v>0</v>
      </c>
      <c r="M2475" t="n">
        <v>0</v>
      </c>
      <c r="N2475" t="n">
        <v>0</v>
      </c>
      <c r="O2475" t="n">
        <v>0</v>
      </c>
      <c r="P2475" t="n">
        <v>0</v>
      </c>
      <c r="Q2475" t="n">
        <v>0</v>
      </c>
      <c r="R2475" s="2" t="inlineStr"/>
    </row>
    <row r="2476" ht="15" customHeight="1">
      <c r="A2476" t="inlineStr">
        <is>
          <t>A 533-2025</t>
        </is>
      </c>
      <c r="B2476" s="1" t="n">
        <v>45664.5075</v>
      </c>
      <c r="C2476" s="1" t="n">
        <v>45962</v>
      </c>
      <c r="D2476" t="inlineStr">
        <is>
          <t>SKÅNE LÄN</t>
        </is>
      </c>
      <c r="E2476" t="inlineStr">
        <is>
          <t>KRISTIANSTAD</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24-2023</t>
        </is>
      </c>
      <c r="B2477" s="1" t="n">
        <v>44928</v>
      </c>
      <c r="C2477" s="1" t="n">
        <v>45962</v>
      </c>
      <c r="D2477" t="inlineStr">
        <is>
          <t>SKÅNE LÄN</t>
        </is>
      </c>
      <c r="E2477" t="inlineStr">
        <is>
          <t>BÅSTAD</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21973-2025</t>
        </is>
      </c>
      <c r="B2478" s="1" t="n">
        <v>45784.6365162037</v>
      </c>
      <c r="C2478" s="1" t="n">
        <v>45962</v>
      </c>
      <c r="D2478" t="inlineStr">
        <is>
          <t>SKÅNE LÄN</t>
        </is>
      </c>
      <c r="E2478" t="inlineStr">
        <is>
          <t>SJÖBO</t>
        </is>
      </c>
      <c r="G2478" t="n">
        <v>6.4</v>
      </c>
      <c r="H2478" t="n">
        <v>0</v>
      </c>
      <c r="I2478" t="n">
        <v>0</v>
      </c>
      <c r="J2478" t="n">
        <v>0</v>
      </c>
      <c r="K2478" t="n">
        <v>0</v>
      </c>
      <c r="L2478" t="n">
        <v>0</v>
      </c>
      <c r="M2478" t="n">
        <v>0</v>
      </c>
      <c r="N2478" t="n">
        <v>0</v>
      </c>
      <c r="O2478" t="n">
        <v>0</v>
      </c>
      <c r="P2478" t="n">
        <v>0</v>
      </c>
      <c r="Q2478" t="n">
        <v>0</v>
      </c>
      <c r="R2478" s="2" t="inlineStr"/>
    </row>
    <row r="2479" ht="15" customHeight="1">
      <c r="A2479" t="inlineStr">
        <is>
          <t>A 21976-2025</t>
        </is>
      </c>
      <c r="B2479" s="1" t="n">
        <v>45784.64052083333</v>
      </c>
      <c r="C2479" s="1" t="n">
        <v>45962</v>
      </c>
      <c r="D2479" t="inlineStr">
        <is>
          <t>SKÅNE LÄN</t>
        </is>
      </c>
      <c r="E2479" t="inlineStr">
        <is>
          <t>SJÖBO</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2490-2024</t>
        </is>
      </c>
      <c r="B2480" s="1" t="n">
        <v>45313.43649305555</v>
      </c>
      <c r="C2480" s="1" t="n">
        <v>45962</v>
      </c>
      <c r="D2480" t="inlineStr">
        <is>
          <t>SKÅNE LÄN</t>
        </is>
      </c>
      <c r="E2480" t="inlineStr">
        <is>
          <t>HÄSSLEHOLM</t>
        </is>
      </c>
      <c r="G2480" t="n">
        <v>4</v>
      </c>
      <c r="H2480" t="n">
        <v>0</v>
      </c>
      <c r="I2480" t="n">
        <v>0</v>
      </c>
      <c r="J2480" t="n">
        <v>0</v>
      </c>
      <c r="K2480" t="n">
        <v>0</v>
      </c>
      <c r="L2480" t="n">
        <v>0</v>
      </c>
      <c r="M2480" t="n">
        <v>0</v>
      </c>
      <c r="N2480" t="n">
        <v>0</v>
      </c>
      <c r="O2480" t="n">
        <v>0</v>
      </c>
      <c r="P2480" t="n">
        <v>0</v>
      </c>
      <c r="Q2480" t="n">
        <v>0</v>
      </c>
      <c r="R2480" s="2" t="inlineStr"/>
    </row>
    <row r="2481" ht="15" customHeight="1">
      <c r="A2481" t="inlineStr">
        <is>
          <t>A 7746-2024</t>
        </is>
      </c>
      <c r="B2481" s="1" t="n">
        <v>45349</v>
      </c>
      <c r="C2481" s="1" t="n">
        <v>45962</v>
      </c>
      <c r="D2481" t="inlineStr">
        <is>
          <t>SKÅNE LÄN</t>
        </is>
      </c>
      <c r="E2481" t="inlineStr">
        <is>
          <t>KLIPPAN</t>
        </is>
      </c>
      <c r="F2481" t="inlineStr">
        <is>
          <t>Övriga Aktiebolag</t>
        </is>
      </c>
      <c r="G2481" t="n">
        <v>1.9</v>
      </c>
      <c r="H2481" t="n">
        <v>0</v>
      </c>
      <c r="I2481" t="n">
        <v>0</v>
      </c>
      <c r="J2481" t="n">
        <v>0</v>
      </c>
      <c r="K2481" t="n">
        <v>0</v>
      </c>
      <c r="L2481" t="n">
        <v>0</v>
      </c>
      <c r="M2481" t="n">
        <v>0</v>
      </c>
      <c r="N2481" t="n">
        <v>0</v>
      </c>
      <c r="O2481" t="n">
        <v>0</v>
      </c>
      <c r="P2481" t="n">
        <v>0</v>
      </c>
      <c r="Q2481" t="n">
        <v>0</v>
      </c>
      <c r="R2481" s="2" t="inlineStr"/>
    </row>
    <row r="2482" ht="15" customHeight="1">
      <c r="A2482" t="inlineStr">
        <is>
          <t>A 15012-2024</t>
        </is>
      </c>
      <c r="B2482" s="1" t="n">
        <v>45399</v>
      </c>
      <c r="C2482" s="1" t="n">
        <v>45962</v>
      </c>
      <c r="D2482" t="inlineStr">
        <is>
          <t>SKÅNE LÄN</t>
        </is>
      </c>
      <c r="E2482" t="inlineStr">
        <is>
          <t>TOMELILLA</t>
        </is>
      </c>
      <c r="G2482" t="n">
        <v>6.9</v>
      </c>
      <c r="H2482" t="n">
        <v>0</v>
      </c>
      <c r="I2482" t="n">
        <v>0</v>
      </c>
      <c r="J2482" t="n">
        <v>0</v>
      </c>
      <c r="K2482" t="n">
        <v>0</v>
      </c>
      <c r="L2482" t="n">
        <v>0</v>
      </c>
      <c r="M2482" t="n">
        <v>0</v>
      </c>
      <c r="N2482" t="n">
        <v>0</v>
      </c>
      <c r="O2482" t="n">
        <v>0</v>
      </c>
      <c r="P2482" t="n">
        <v>0</v>
      </c>
      <c r="Q2482" t="n">
        <v>0</v>
      </c>
      <c r="R2482" s="2" t="inlineStr"/>
    </row>
    <row r="2483" ht="15" customHeight="1">
      <c r="A2483" t="inlineStr">
        <is>
          <t>A 3346-2024</t>
        </is>
      </c>
      <c r="B2483" s="1" t="n">
        <v>45317</v>
      </c>
      <c r="C2483" s="1" t="n">
        <v>45962</v>
      </c>
      <c r="D2483" t="inlineStr">
        <is>
          <t>SKÅNE LÄN</t>
        </is>
      </c>
      <c r="E2483" t="inlineStr">
        <is>
          <t>HÖRBY</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26033-2022</t>
        </is>
      </c>
      <c r="B2484" s="1" t="n">
        <v>44734</v>
      </c>
      <c r="C2484" s="1" t="n">
        <v>45962</v>
      </c>
      <c r="D2484" t="inlineStr">
        <is>
          <t>SKÅNE LÄN</t>
        </is>
      </c>
      <c r="E2484" t="inlineStr">
        <is>
          <t>HÖÖR</t>
        </is>
      </c>
      <c r="F2484" t="inlineStr">
        <is>
          <t>Övriga statliga verk och myndigheter</t>
        </is>
      </c>
      <c r="G2484" t="n">
        <v>9.300000000000001</v>
      </c>
      <c r="H2484" t="n">
        <v>0</v>
      </c>
      <c r="I2484" t="n">
        <v>0</v>
      </c>
      <c r="J2484" t="n">
        <v>0</v>
      </c>
      <c r="K2484" t="n">
        <v>0</v>
      </c>
      <c r="L2484" t="n">
        <v>0</v>
      </c>
      <c r="M2484" t="n">
        <v>0</v>
      </c>
      <c r="N2484" t="n">
        <v>0</v>
      </c>
      <c r="O2484" t="n">
        <v>0</v>
      </c>
      <c r="P2484" t="n">
        <v>0</v>
      </c>
      <c r="Q2484" t="n">
        <v>0</v>
      </c>
      <c r="R2484" s="2" t="inlineStr"/>
    </row>
    <row r="2485" ht="15" customHeight="1">
      <c r="A2485" t="inlineStr">
        <is>
          <t>A 61537-2024</t>
        </is>
      </c>
      <c r="B2485" s="1" t="n">
        <v>45646</v>
      </c>
      <c r="C2485" s="1" t="n">
        <v>45962</v>
      </c>
      <c r="D2485" t="inlineStr">
        <is>
          <t>SKÅNE LÄN</t>
        </is>
      </c>
      <c r="E2485" t="inlineStr">
        <is>
          <t>HÄSSLEHOLM</t>
        </is>
      </c>
      <c r="G2485" t="n">
        <v>3.7</v>
      </c>
      <c r="H2485" t="n">
        <v>0</v>
      </c>
      <c r="I2485" t="n">
        <v>0</v>
      </c>
      <c r="J2485" t="n">
        <v>0</v>
      </c>
      <c r="K2485" t="n">
        <v>0</v>
      </c>
      <c r="L2485" t="n">
        <v>0</v>
      </c>
      <c r="M2485" t="n">
        <v>0</v>
      </c>
      <c r="N2485" t="n">
        <v>0</v>
      </c>
      <c r="O2485" t="n">
        <v>0</v>
      </c>
      <c r="P2485" t="n">
        <v>0</v>
      </c>
      <c r="Q2485" t="n">
        <v>0</v>
      </c>
      <c r="R2485" s="2" t="inlineStr"/>
    </row>
    <row r="2486" ht="15" customHeight="1">
      <c r="A2486" t="inlineStr">
        <is>
          <t>A 10714-2025</t>
        </is>
      </c>
      <c r="B2486" s="1" t="n">
        <v>45722</v>
      </c>
      <c r="C2486" s="1" t="n">
        <v>45962</v>
      </c>
      <c r="D2486" t="inlineStr">
        <is>
          <t>SKÅNE LÄN</t>
        </is>
      </c>
      <c r="E2486" t="inlineStr">
        <is>
          <t>OSBY</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17587-2023</t>
        </is>
      </c>
      <c r="B2487" s="1" t="n">
        <v>45036</v>
      </c>
      <c r="C2487" s="1" t="n">
        <v>45962</v>
      </c>
      <c r="D2487" t="inlineStr">
        <is>
          <t>SKÅNE LÄN</t>
        </is>
      </c>
      <c r="E2487" t="inlineStr">
        <is>
          <t>OSBY</t>
        </is>
      </c>
      <c r="G2487" t="n">
        <v>2.6</v>
      </c>
      <c r="H2487" t="n">
        <v>0</v>
      </c>
      <c r="I2487" t="n">
        <v>0</v>
      </c>
      <c r="J2487" t="n">
        <v>0</v>
      </c>
      <c r="K2487" t="n">
        <v>0</v>
      </c>
      <c r="L2487" t="n">
        <v>0</v>
      </c>
      <c r="M2487" t="n">
        <v>0</v>
      </c>
      <c r="N2487" t="n">
        <v>0</v>
      </c>
      <c r="O2487" t="n">
        <v>0</v>
      </c>
      <c r="P2487" t="n">
        <v>0</v>
      </c>
      <c r="Q2487" t="n">
        <v>0</v>
      </c>
      <c r="R2487" s="2" t="inlineStr"/>
    </row>
    <row r="2488" ht="15" customHeight="1">
      <c r="A2488" t="inlineStr">
        <is>
          <t>A 66321-2021</t>
        </is>
      </c>
      <c r="B2488" s="1" t="n">
        <v>44518</v>
      </c>
      <c r="C2488" s="1" t="n">
        <v>45962</v>
      </c>
      <c r="D2488" t="inlineStr">
        <is>
          <t>SKÅNE LÄN</t>
        </is>
      </c>
      <c r="E2488" t="inlineStr">
        <is>
          <t>HÄSSLEHOLM</t>
        </is>
      </c>
      <c r="G2488" t="n">
        <v>9.300000000000001</v>
      </c>
      <c r="H2488" t="n">
        <v>0</v>
      </c>
      <c r="I2488" t="n">
        <v>0</v>
      </c>
      <c r="J2488" t="n">
        <v>0</v>
      </c>
      <c r="K2488" t="n">
        <v>0</v>
      </c>
      <c r="L2488" t="n">
        <v>0</v>
      </c>
      <c r="M2488" t="n">
        <v>0</v>
      </c>
      <c r="N2488" t="n">
        <v>0</v>
      </c>
      <c r="O2488" t="n">
        <v>0</v>
      </c>
      <c r="P2488" t="n">
        <v>0</v>
      </c>
      <c r="Q2488" t="n">
        <v>0</v>
      </c>
      <c r="R2488" s="2" t="inlineStr"/>
    </row>
    <row r="2489" ht="15" customHeight="1">
      <c r="A2489" t="inlineStr">
        <is>
          <t>A 16668-2025</t>
        </is>
      </c>
      <c r="B2489" s="1" t="n">
        <v>45754.43009259259</v>
      </c>
      <c r="C2489" s="1" t="n">
        <v>45962</v>
      </c>
      <c r="D2489" t="inlineStr">
        <is>
          <t>SKÅNE LÄN</t>
        </is>
      </c>
      <c r="E2489" t="inlineStr">
        <is>
          <t>HÄSSLEHOLM</t>
        </is>
      </c>
      <c r="G2489" t="n">
        <v>4</v>
      </c>
      <c r="H2489" t="n">
        <v>0</v>
      </c>
      <c r="I2489" t="n">
        <v>0</v>
      </c>
      <c r="J2489" t="n">
        <v>0</v>
      </c>
      <c r="K2489" t="n">
        <v>0</v>
      </c>
      <c r="L2489" t="n">
        <v>0</v>
      </c>
      <c r="M2489" t="n">
        <v>0</v>
      </c>
      <c r="N2489" t="n">
        <v>0</v>
      </c>
      <c r="O2489" t="n">
        <v>0</v>
      </c>
      <c r="P2489" t="n">
        <v>0</v>
      </c>
      <c r="Q2489" t="n">
        <v>0</v>
      </c>
      <c r="R2489" s="2" t="inlineStr"/>
    </row>
    <row r="2490" ht="15" customHeight="1">
      <c r="A2490" t="inlineStr">
        <is>
          <t>A 43469-2024</t>
        </is>
      </c>
      <c r="B2490" s="1" t="n">
        <v>45568.72523148148</v>
      </c>
      <c r="C2490" s="1" t="n">
        <v>45962</v>
      </c>
      <c r="D2490" t="inlineStr">
        <is>
          <t>SKÅNE LÄN</t>
        </is>
      </c>
      <c r="E2490" t="inlineStr">
        <is>
          <t>HÖÖR</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34890-2023</t>
        </is>
      </c>
      <c r="B2491" s="1" t="n">
        <v>45142.39475694444</v>
      </c>
      <c r="C2491" s="1" t="n">
        <v>45962</v>
      </c>
      <c r="D2491" t="inlineStr">
        <is>
          <t>SKÅNE LÄN</t>
        </is>
      </c>
      <c r="E2491" t="inlineStr">
        <is>
          <t>HÄSSLEHOLM</t>
        </is>
      </c>
      <c r="G2491" t="n">
        <v>4</v>
      </c>
      <c r="H2491" t="n">
        <v>0</v>
      </c>
      <c r="I2491" t="n">
        <v>0</v>
      </c>
      <c r="J2491" t="n">
        <v>0</v>
      </c>
      <c r="K2491" t="n">
        <v>0</v>
      </c>
      <c r="L2491" t="n">
        <v>0</v>
      </c>
      <c r="M2491" t="n">
        <v>0</v>
      </c>
      <c r="N2491" t="n">
        <v>0</v>
      </c>
      <c r="O2491" t="n">
        <v>0</v>
      </c>
      <c r="P2491" t="n">
        <v>0</v>
      </c>
      <c r="Q2491" t="n">
        <v>0</v>
      </c>
      <c r="R2491" s="2" t="inlineStr"/>
    </row>
    <row r="2492" ht="15" customHeight="1">
      <c r="A2492" t="inlineStr">
        <is>
          <t>A 23850-2024</t>
        </is>
      </c>
      <c r="B2492" s="1" t="n">
        <v>45455</v>
      </c>
      <c r="C2492" s="1" t="n">
        <v>45962</v>
      </c>
      <c r="D2492" t="inlineStr">
        <is>
          <t>SKÅNE LÄN</t>
        </is>
      </c>
      <c r="E2492" t="inlineStr">
        <is>
          <t>KRISTIANSTAD</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42592-2021</t>
        </is>
      </c>
      <c r="B2493" s="1" t="n">
        <v>44428</v>
      </c>
      <c r="C2493" s="1" t="n">
        <v>45962</v>
      </c>
      <c r="D2493" t="inlineStr">
        <is>
          <t>SKÅNE LÄN</t>
        </is>
      </c>
      <c r="E2493" t="inlineStr">
        <is>
          <t>ÖSTRA GÖINGE</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63436-2023</t>
        </is>
      </c>
      <c r="B2494" s="1" t="n">
        <v>45274.58528935185</v>
      </c>
      <c r="C2494" s="1" t="n">
        <v>45962</v>
      </c>
      <c r="D2494" t="inlineStr">
        <is>
          <t>SKÅNE LÄN</t>
        </is>
      </c>
      <c r="E2494" t="inlineStr">
        <is>
          <t>ÖSTRA GÖINGE</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23857-2024</t>
        </is>
      </c>
      <c r="B2495" s="1" t="n">
        <v>45455</v>
      </c>
      <c r="C2495" s="1" t="n">
        <v>45962</v>
      </c>
      <c r="D2495" t="inlineStr">
        <is>
          <t>SKÅNE LÄN</t>
        </is>
      </c>
      <c r="E2495" t="inlineStr">
        <is>
          <t>HÄSSLEHOLM</t>
        </is>
      </c>
      <c r="G2495" t="n">
        <v>3</v>
      </c>
      <c r="H2495" t="n">
        <v>0</v>
      </c>
      <c r="I2495" t="n">
        <v>0</v>
      </c>
      <c r="J2495" t="n">
        <v>0</v>
      </c>
      <c r="K2495" t="n">
        <v>0</v>
      </c>
      <c r="L2495" t="n">
        <v>0</v>
      </c>
      <c r="M2495" t="n">
        <v>0</v>
      </c>
      <c r="N2495" t="n">
        <v>0</v>
      </c>
      <c r="O2495" t="n">
        <v>0</v>
      </c>
      <c r="P2495" t="n">
        <v>0</v>
      </c>
      <c r="Q2495" t="n">
        <v>0</v>
      </c>
      <c r="R2495" s="2" t="inlineStr"/>
    </row>
    <row r="2496" ht="15" customHeight="1">
      <c r="A2496" t="inlineStr">
        <is>
          <t>A 31195-2024</t>
        </is>
      </c>
      <c r="B2496" s="1" t="n">
        <v>45503</v>
      </c>
      <c r="C2496" s="1" t="n">
        <v>45962</v>
      </c>
      <c r="D2496" t="inlineStr">
        <is>
          <t>SKÅNE LÄN</t>
        </is>
      </c>
      <c r="E2496" t="inlineStr">
        <is>
          <t>OSBY</t>
        </is>
      </c>
      <c r="G2496" t="n">
        <v>1.4</v>
      </c>
      <c r="H2496" t="n">
        <v>0</v>
      </c>
      <c r="I2496" t="n">
        <v>0</v>
      </c>
      <c r="J2496" t="n">
        <v>0</v>
      </c>
      <c r="K2496" t="n">
        <v>0</v>
      </c>
      <c r="L2496" t="n">
        <v>0</v>
      </c>
      <c r="M2496" t="n">
        <v>0</v>
      </c>
      <c r="N2496" t="n">
        <v>0</v>
      </c>
      <c r="O2496" t="n">
        <v>0</v>
      </c>
      <c r="P2496" t="n">
        <v>0</v>
      </c>
      <c r="Q2496" t="n">
        <v>0</v>
      </c>
      <c r="R2496" s="2" t="inlineStr"/>
    </row>
    <row r="2497" ht="15" customHeight="1">
      <c r="A2497" t="inlineStr">
        <is>
          <t>A 13055-2022</t>
        </is>
      </c>
      <c r="B2497" s="1" t="n">
        <v>44643</v>
      </c>
      <c r="C2497" s="1" t="n">
        <v>45962</v>
      </c>
      <c r="D2497" t="inlineStr">
        <is>
          <t>SKÅNE LÄN</t>
        </is>
      </c>
      <c r="E2497" t="inlineStr">
        <is>
          <t>SJÖBO</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31268-2024</t>
        </is>
      </c>
      <c r="B2498" s="1" t="n">
        <v>45504</v>
      </c>
      <c r="C2498" s="1" t="n">
        <v>45962</v>
      </c>
      <c r="D2498" t="inlineStr">
        <is>
          <t>SKÅNE LÄN</t>
        </is>
      </c>
      <c r="E2498" t="inlineStr">
        <is>
          <t>HÄSSLEHOLM</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22369-2024</t>
        </is>
      </c>
      <c r="B2499" s="1" t="n">
        <v>45446</v>
      </c>
      <c r="C2499" s="1" t="n">
        <v>45962</v>
      </c>
      <c r="D2499" t="inlineStr">
        <is>
          <t>SKÅNE LÄN</t>
        </is>
      </c>
      <c r="E2499" t="inlineStr">
        <is>
          <t>KÄVLINGE</t>
        </is>
      </c>
      <c r="G2499" t="n">
        <v>5.6</v>
      </c>
      <c r="H2499" t="n">
        <v>0</v>
      </c>
      <c r="I2499" t="n">
        <v>0</v>
      </c>
      <c r="J2499" t="n">
        <v>0</v>
      </c>
      <c r="K2499" t="n">
        <v>0</v>
      </c>
      <c r="L2499" t="n">
        <v>0</v>
      </c>
      <c r="M2499" t="n">
        <v>0</v>
      </c>
      <c r="N2499" t="n">
        <v>0</v>
      </c>
      <c r="O2499" t="n">
        <v>0</v>
      </c>
      <c r="P2499" t="n">
        <v>0</v>
      </c>
      <c r="Q2499" t="n">
        <v>0</v>
      </c>
      <c r="R2499" s="2" t="inlineStr"/>
    </row>
    <row r="2500" ht="15" customHeight="1">
      <c r="A2500" t="inlineStr">
        <is>
          <t>A 7056-2024</t>
        </is>
      </c>
      <c r="B2500" s="1" t="n">
        <v>45343</v>
      </c>
      <c r="C2500" s="1" t="n">
        <v>45962</v>
      </c>
      <c r="D2500" t="inlineStr">
        <is>
          <t>SKÅNE LÄN</t>
        </is>
      </c>
      <c r="E2500" t="inlineStr">
        <is>
          <t>KRISTIANSTAD</t>
        </is>
      </c>
      <c r="F2500" t="inlineStr">
        <is>
          <t>Sveaskog</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22384-2024</t>
        </is>
      </c>
      <c r="B2501" s="1" t="n">
        <v>45446.65592592592</v>
      </c>
      <c r="C2501" s="1" t="n">
        <v>45962</v>
      </c>
      <c r="D2501" t="inlineStr">
        <is>
          <t>SKÅNE LÄN</t>
        </is>
      </c>
      <c r="E2501" t="inlineStr">
        <is>
          <t>HÄSSLEHOLM</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22024-2025</t>
        </is>
      </c>
      <c r="B2502" s="1" t="n">
        <v>45784.85322916666</v>
      </c>
      <c r="C2502" s="1" t="n">
        <v>45962</v>
      </c>
      <c r="D2502" t="inlineStr">
        <is>
          <t>SKÅNE LÄN</t>
        </is>
      </c>
      <c r="E2502" t="inlineStr">
        <is>
          <t>HÄSSLEHOLM</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43745-2023</t>
        </is>
      </c>
      <c r="B2503" s="1" t="n">
        <v>45187.47180555556</v>
      </c>
      <c r="C2503" s="1" t="n">
        <v>45962</v>
      </c>
      <c r="D2503" t="inlineStr">
        <is>
          <t>SKÅNE LÄN</t>
        </is>
      </c>
      <c r="E2503" t="inlineStr">
        <is>
          <t>SJÖBO</t>
        </is>
      </c>
      <c r="F2503" t="inlineStr">
        <is>
          <t>Sveaskog</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12721-2023</t>
        </is>
      </c>
      <c r="B2504" s="1" t="n">
        <v>45000.78096064815</v>
      </c>
      <c r="C2504" s="1" t="n">
        <v>45962</v>
      </c>
      <c r="D2504" t="inlineStr">
        <is>
          <t>SKÅNE LÄN</t>
        </is>
      </c>
      <c r="E2504" t="inlineStr">
        <is>
          <t>BROMÖLLA</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39298-2023</t>
        </is>
      </c>
      <c r="B2505" s="1" t="n">
        <v>45166.55553240741</v>
      </c>
      <c r="C2505" s="1" t="n">
        <v>45962</v>
      </c>
      <c r="D2505" t="inlineStr">
        <is>
          <t>SKÅNE LÄN</t>
        </is>
      </c>
      <c r="E2505" t="inlineStr">
        <is>
          <t>HÖRBY</t>
        </is>
      </c>
      <c r="G2505" t="n">
        <v>4.6</v>
      </c>
      <c r="H2505" t="n">
        <v>0</v>
      </c>
      <c r="I2505" t="n">
        <v>0</v>
      </c>
      <c r="J2505" t="n">
        <v>0</v>
      </c>
      <c r="K2505" t="n">
        <v>0</v>
      </c>
      <c r="L2505" t="n">
        <v>0</v>
      </c>
      <c r="M2505" t="n">
        <v>0</v>
      </c>
      <c r="N2505" t="n">
        <v>0</v>
      </c>
      <c r="O2505" t="n">
        <v>0</v>
      </c>
      <c r="P2505" t="n">
        <v>0</v>
      </c>
      <c r="Q2505" t="n">
        <v>0</v>
      </c>
      <c r="R2505" s="2" t="inlineStr"/>
    </row>
    <row r="2506" ht="15" customHeight="1">
      <c r="A2506" t="inlineStr">
        <is>
          <t>A 1726-2023</t>
        </is>
      </c>
      <c r="B2506" s="1" t="n">
        <v>44938</v>
      </c>
      <c r="C2506" s="1" t="n">
        <v>45962</v>
      </c>
      <c r="D2506" t="inlineStr">
        <is>
          <t>SKÅNE LÄN</t>
        </is>
      </c>
      <c r="E2506" t="inlineStr">
        <is>
          <t>KRISTIANSTAD</t>
        </is>
      </c>
      <c r="G2506" t="n">
        <v>3.3</v>
      </c>
      <c r="H2506" t="n">
        <v>0</v>
      </c>
      <c r="I2506" t="n">
        <v>0</v>
      </c>
      <c r="J2506" t="n">
        <v>0</v>
      </c>
      <c r="K2506" t="n">
        <v>0</v>
      </c>
      <c r="L2506" t="n">
        <v>0</v>
      </c>
      <c r="M2506" t="n">
        <v>0</v>
      </c>
      <c r="N2506" t="n">
        <v>0</v>
      </c>
      <c r="O2506" t="n">
        <v>0</v>
      </c>
      <c r="P2506" t="n">
        <v>0</v>
      </c>
      <c r="Q2506" t="n">
        <v>0</v>
      </c>
      <c r="R2506" s="2" t="inlineStr"/>
    </row>
    <row r="2507" ht="15" customHeight="1">
      <c r="A2507" t="inlineStr">
        <is>
          <t>A 23260-2023</t>
        </is>
      </c>
      <c r="B2507" s="1" t="n">
        <v>45075.87199074074</v>
      </c>
      <c r="C2507" s="1" t="n">
        <v>45962</v>
      </c>
      <c r="D2507" t="inlineStr">
        <is>
          <t>SKÅNE LÄN</t>
        </is>
      </c>
      <c r="E2507" t="inlineStr">
        <is>
          <t>KLIPPAN</t>
        </is>
      </c>
      <c r="G2507" t="n">
        <v>3.4</v>
      </c>
      <c r="H2507" t="n">
        <v>0</v>
      </c>
      <c r="I2507" t="n">
        <v>0</v>
      </c>
      <c r="J2507" t="n">
        <v>0</v>
      </c>
      <c r="K2507" t="n">
        <v>0</v>
      </c>
      <c r="L2507" t="n">
        <v>0</v>
      </c>
      <c r="M2507" t="n">
        <v>0</v>
      </c>
      <c r="N2507" t="n">
        <v>0</v>
      </c>
      <c r="O2507" t="n">
        <v>0</v>
      </c>
      <c r="P2507" t="n">
        <v>0</v>
      </c>
      <c r="Q2507" t="n">
        <v>0</v>
      </c>
      <c r="R2507" s="2" t="inlineStr"/>
    </row>
    <row r="2508" ht="15" customHeight="1">
      <c r="A2508" t="inlineStr">
        <is>
          <t>A 25069-2023</t>
        </is>
      </c>
      <c r="B2508" s="1" t="n">
        <v>45086</v>
      </c>
      <c r="C2508" s="1" t="n">
        <v>45962</v>
      </c>
      <c r="D2508" t="inlineStr">
        <is>
          <t>SKÅNE LÄN</t>
        </is>
      </c>
      <c r="E2508" t="inlineStr">
        <is>
          <t>KLIPPAN</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2170-2025</t>
        </is>
      </c>
      <c r="B2509" s="1" t="n">
        <v>45673.31113425926</v>
      </c>
      <c r="C2509" s="1" t="n">
        <v>45962</v>
      </c>
      <c r="D2509" t="inlineStr">
        <is>
          <t>SKÅNE LÄN</t>
        </is>
      </c>
      <c r="E2509" t="inlineStr">
        <is>
          <t>HÖRBY</t>
        </is>
      </c>
      <c r="G2509" t="n">
        <v>3.6</v>
      </c>
      <c r="H2509" t="n">
        <v>0</v>
      </c>
      <c r="I2509" t="n">
        <v>0</v>
      </c>
      <c r="J2509" t="n">
        <v>0</v>
      </c>
      <c r="K2509" t="n">
        <v>0</v>
      </c>
      <c r="L2509" t="n">
        <v>0</v>
      </c>
      <c r="M2509" t="n">
        <v>0</v>
      </c>
      <c r="N2509" t="n">
        <v>0</v>
      </c>
      <c r="O2509" t="n">
        <v>0</v>
      </c>
      <c r="P2509" t="n">
        <v>0</v>
      </c>
      <c r="Q2509" t="n">
        <v>0</v>
      </c>
      <c r="R2509" s="2" t="inlineStr"/>
    </row>
    <row r="2510" ht="15" customHeight="1">
      <c r="A2510" t="inlineStr">
        <is>
          <t>A 30092-2025</t>
        </is>
      </c>
      <c r="B2510" s="1" t="n">
        <v>45826</v>
      </c>
      <c r="C2510" s="1" t="n">
        <v>45962</v>
      </c>
      <c r="D2510" t="inlineStr">
        <is>
          <t>SKÅNE LÄN</t>
        </is>
      </c>
      <c r="E2510" t="inlineStr">
        <is>
          <t>HÄSSLEHOLM</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20006-2025</t>
        </is>
      </c>
      <c r="B2511" s="1" t="n">
        <v>45772.05032407407</v>
      </c>
      <c r="C2511" s="1" t="n">
        <v>45962</v>
      </c>
      <c r="D2511" t="inlineStr">
        <is>
          <t>SKÅNE LÄN</t>
        </is>
      </c>
      <c r="E2511" t="inlineStr">
        <is>
          <t>HÄSSLEHOLM</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15657-2025</t>
        </is>
      </c>
      <c r="B2512" s="1" t="n">
        <v>45748</v>
      </c>
      <c r="C2512" s="1" t="n">
        <v>45962</v>
      </c>
      <c r="D2512" t="inlineStr">
        <is>
          <t>SKÅNE LÄN</t>
        </is>
      </c>
      <c r="E2512" t="inlineStr">
        <is>
          <t>HÖÖR</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36158-2023</t>
        </is>
      </c>
      <c r="B2513" s="1" t="n">
        <v>45149.61890046296</v>
      </c>
      <c r="C2513" s="1" t="n">
        <v>45962</v>
      </c>
      <c r="D2513" t="inlineStr">
        <is>
          <t>SKÅNE LÄN</t>
        </is>
      </c>
      <c r="E2513" t="inlineStr">
        <is>
          <t>KRISTIANSTAD</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57840-2020</t>
        </is>
      </c>
      <c r="B2514" s="1" t="n">
        <v>44141</v>
      </c>
      <c r="C2514" s="1" t="n">
        <v>45962</v>
      </c>
      <c r="D2514" t="inlineStr">
        <is>
          <t>SKÅNE LÄN</t>
        </is>
      </c>
      <c r="E2514" t="inlineStr">
        <is>
          <t>KRISTIANSTAD</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17270-2024</t>
        </is>
      </c>
      <c r="B2515" s="1" t="n">
        <v>45414.43387731481</v>
      </c>
      <c r="C2515" s="1" t="n">
        <v>45962</v>
      </c>
      <c r="D2515" t="inlineStr">
        <is>
          <t>SKÅNE LÄN</t>
        </is>
      </c>
      <c r="E2515" t="inlineStr">
        <is>
          <t>KRISTIANSTAD</t>
        </is>
      </c>
      <c r="G2515" t="n">
        <v>2.2</v>
      </c>
      <c r="H2515" t="n">
        <v>0</v>
      </c>
      <c r="I2515" t="n">
        <v>0</v>
      </c>
      <c r="J2515" t="n">
        <v>0</v>
      </c>
      <c r="K2515" t="n">
        <v>0</v>
      </c>
      <c r="L2515" t="n">
        <v>0</v>
      </c>
      <c r="M2515" t="n">
        <v>0</v>
      </c>
      <c r="N2515" t="n">
        <v>0</v>
      </c>
      <c r="O2515" t="n">
        <v>0</v>
      </c>
      <c r="P2515" t="n">
        <v>0</v>
      </c>
      <c r="Q2515" t="n">
        <v>0</v>
      </c>
      <c r="R2515" s="2" t="inlineStr"/>
    </row>
    <row r="2516" ht="15" customHeight="1">
      <c r="A2516" t="inlineStr">
        <is>
          <t>A 51287-2022</t>
        </is>
      </c>
      <c r="B2516" s="1" t="n">
        <v>44868.83146990741</v>
      </c>
      <c r="C2516" s="1" t="n">
        <v>45962</v>
      </c>
      <c r="D2516" t="inlineStr">
        <is>
          <t>SKÅNE LÄN</t>
        </is>
      </c>
      <c r="E2516" t="inlineStr">
        <is>
          <t>HÄSSLEHOLM</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47874-2023</t>
        </is>
      </c>
      <c r="B2517" s="1" t="n">
        <v>45204</v>
      </c>
      <c r="C2517" s="1" t="n">
        <v>45962</v>
      </c>
      <c r="D2517" t="inlineStr">
        <is>
          <t>SKÅNE LÄN</t>
        </is>
      </c>
      <c r="E2517" t="inlineStr">
        <is>
          <t>SIMRISHAMN</t>
        </is>
      </c>
      <c r="F2517" t="inlineStr">
        <is>
          <t>Övriga Aktiebolag</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54308-2023</t>
        </is>
      </c>
      <c r="B2518" s="1" t="n">
        <v>45232.85101851852</v>
      </c>
      <c r="C2518" s="1" t="n">
        <v>45962</v>
      </c>
      <c r="D2518" t="inlineStr">
        <is>
          <t>SKÅNE LÄN</t>
        </is>
      </c>
      <c r="E2518" t="inlineStr">
        <is>
          <t>KRISTIANSTAD</t>
        </is>
      </c>
      <c r="G2518" t="n">
        <v>0.3</v>
      </c>
      <c r="H2518" t="n">
        <v>0</v>
      </c>
      <c r="I2518" t="n">
        <v>0</v>
      </c>
      <c r="J2518" t="n">
        <v>0</v>
      </c>
      <c r="K2518" t="n">
        <v>0</v>
      </c>
      <c r="L2518" t="n">
        <v>0</v>
      </c>
      <c r="M2518" t="n">
        <v>0</v>
      </c>
      <c r="N2518" t="n">
        <v>0</v>
      </c>
      <c r="O2518" t="n">
        <v>0</v>
      </c>
      <c r="P2518" t="n">
        <v>0</v>
      </c>
      <c r="Q2518" t="n">
        <v>0</v>
      </c>
      <c r="R2518" s="2" t="inlineStr"/>
    </row>
    <row r="2519" ht="15" customHeight="1">
      <c r="A2519" t="inlineStr">
        <is>
          <t>A 73544-2021</t>
        </is>
      </c>
      <c r="B2519" s="1" t="n">
        <v>44551</v>
      </c>
      <c r="C2519" s="1" t="n">
        <v>45962</v>
      </c>
      <c r="D2519" t="inlineStr">
        <is>
          <t>SKÅNE LÄN</t>
        </is>
      </c>
      <c r="E2519" t="inlineStr">
        <is>
          <t>HÖÖR</t>
        </is>
      </c>
      <c r="F2519" t="inlineStr">
        <is>
          <t>Övriga statliga verk och myndigheter</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7016-2024</t>
        </is>
      </c>
      <c r="B2520" s="1" t="n">
        <v>45343</v>
      </c>
      <c r="C2520" s="1" t="n">
        <v>45962</v>
      </c>
      <c r="D2520" t="inlineStr">
        <is>
          <t>SKÅNE LÄN</t>
        </is>
      </c>
      <c r="E2520" t="inlineStr">
        <is>
          <t>KRISTIANSTAD</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7018-2024</t>
        </is>
      </c>
      <c r="B2521" s="1" t="n">
        <v>45343</v>
      </c>
      <c r="C2521" s="1" t="n">
        <v>45962</v>
      </c>
      <c r="D2521" t="inlineStr">
        <is>
          <t>SKÅNE LÄN</t>
        </is>
      </c>
      <c r="E2521" t="inlineStr">
        <is>
          <t>KRISTIANSTAD</t>
        </is>
      </c>
      <c r="F2521" t="inlineStr">
        <is>
          <t>Sveaskog</t>
        </is>
      </c>
      <c r="G2521" t="n">
        <v>0.7</v>
      </c>
      <c r="H2521" t="n">
        <v>0</v>
      </c>
      <c r="I2521" t="n">
        <v>0</v>
      </c>
      <c r="J2521" t="n">
        <v>0</v>
      </c>
      <c r="K2521" t="n">
        <v>0</v>
      </c>
      <c r="L2521" t="n">
        <v>0</v>
      </c>
      <c r="M2521" t="n">
        <v>0</v>
      </c>
      <c r="N2521" t="n">
        <v>0</v>
      </c>
      <c r="O2521" t="n">
        <v>0</v>
      </c>
      <c r="P2521" t="n">
        <v>0</v>
      </c>
      <c r="Q2521" t="n">
        <v>0</v>
      </c>
      <c r="R2521" s="2" t="inlineStr"/>
    </row>
    <row r="2522" ht="15" customHeight="1">
      <c r="A2522" t="inlineStr">
        <is>
          <t>A 56735-2024</t>
        </is>
      </c>
      <c r="B2522" s="1" t="n">
        <v>45628.36234953703</v>
      </c>
      <c r="C2522" s="1" t="n">
        <v>45962</v>
      </c>
      <c r="D2522" t="inlineStr">
        <is>
          <t>SKÅNE LÄN</t>
        </is>
      </c>
      <c r="E2522" t="inlineStr">
        <is>
          <t>HÄSSLEHOLM</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29844-2024</t>
        </is>
      </c>
      <c r="B2523" s="1" t="n">
        <v>45485</v>
      </c>
      <c r="C2523" s="1" t="n">
        <v>45962</v>
      </c>
      <c r="D2523" t="inlineStr">
        <is>
          <t>SKÅNE LÄN</t>
        </is>
      </c>
      <c r="E2523" t="inlineStr">
        <is>
          <t>HÄSSLEHOLM</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22661-2025</t>
        </is>
      </c>
      <c r="B2524" s="1" t="n">
        <v>45789</v>
      </c>
      <c r="C2524" s="1" t="n">
        <v>45962</v>
      </c>
      <c r="D2524" t="inlineStr">
        <is>
          <t>SKÅNE LÄN</t>
        </is>
      </c>
      <c r="E2524" t="inlineStr">
        <is>
          <t>KRISTIANSTAD</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49137-2024</t>
        </is>
      </c>
      <c r="B2525" s="1" t="n">
        <v>45594</v>
      </c>
      <c r="C2525" s="1" t="n">
        <v>45962</v>
      </c>
      <c r="D2525" t="inlineStr">
        <is>
          <t>SKÅNE LÄN</t>
        </is>
      </c>
      <c r="E2525" t="inlineStr">
        <is>
          <t>ESLÖV</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55586-2021</t>
        </is>
      </c>
      <c r="B2526" s="1" t="n">
        <v>44475.88427083333</v>
      </c>
      <c r="C2526" s="1" t="n">
        <v>45962</v>
      </c>
      <c r="D2526" t="inlineStr">
        <is>
          <t>SKÅNE LÄN</t>
        </is>
      </c>
      <c r="E2526" t="inlineStr">
        <is>
          <t>KLIPPAN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2437-2024</t>
        </is>
      </c>
      <c r="B2527" s="1" t="n">
        <v>45311</v>
      </c>
      <c r="C2527" s="1" t="n">
        <v>45962</v>
      </c>
      <c r="D2527" t="inlineStr">
        <is>
          <t>SKÅNE LÄN</t>
        </is>
      </c>
      <c r="E2527" t="inlineStr">
        <is>
          <t>KRISTIANSTAD</t>
        </is>
      </c>
      <c r="G2527" t="n">
        <v>3.2</v>
      </c>
      <c r="H2527" t="n">
        <v>0</v>
      </c>
      <c r="I2527" t="n">
        <v>0</v>
      </c>
      <c r="J2527" t="n">
        <v>0</v>
      </c>
      <c r="K2527" t="n">
        <v>0</v>
      </c>
      <c r="L2527" t="n">
        <v>0</v>
      </c>
      <c r="M2527" t="n">
        <v>0</v>
      </c>
      <c r="N2527" t="n">
        <v>0</v>
      </c>
      <c r="O2527" t="n">
        <v>0</v>
      </c>
      <c r="P2527" t="n">
        <v>0</v>
      </c>
      <c r="Q2527" t="n">
        <v>0</v>
      </c>
      <c r="R2527" s="2" t="inlineStr"/>
    </row>
    <row r="2528" ht="15" customHeight="1">
      <c r="A2528" t="inlineStr">
        <is>
          <t>A 22902-2024</t>
        </is>
      </c>
      <c r="B2528" s="1" t="n">
        <v>45448</v>
      </c>
      <c r="C2528" s="1" t="n">
        <v>45962</v>
      </c>
      <c r="D2528" t="inlineStr">
        <is>
          <t>SKÅNE LÄN</t>
        </is>
      </c>
      <c r="E2528" t="inlineStr">
        <is>
          <t>OSBY</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22815-2023</t>
        </is>
      </c>
      <c r="B2529" s="1" t="n">
        <v>45072</v>
      </c>
      <c r="C2529" s="1" t="n">
        <v>45962</v>
      </c>
      <c r="D2529" t="inlineStr">
        <is>
          <t>SKÅNE LÄN</t>
        </is>
      </c>
      <c r="E2529" t="inlineStr">
        <is>
          <t>KRISTIANSTAD</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41322-2021</t>
        </is>
      </c>
      <c r="B2530" s="1" t="n">
        <v>44424</v>
      </c>
      <c r="C2530" s="1" t="n">
        <v>45962</v>
      </c>
      <c r="D2530" t="inlineStr">
        <is>
          <t>SKÅNE LÄN</t>
        </is>
      </c>
      <c r="E2530" t="inlineStr">
        <is>
          <t>OSBY</t>
        </is>
      </c>
      <c r="G2530" t="n">
        <v>11.6</v>
      </c>
      <c r="H2530" t="n">
        <v>0</v>
      </c>
      <c r="I2530" t="n">
        <v>0</v>
      </c>
      <c r="J2530" t="n">
        <v>0</v>
      </c>
      <c r="K2530" t="n">
        <v>0</v>
      </c>
      <c r="L2530" t="n">
        <v>0</v>
      </c>
      <c r="M2530" t="n">
        <v>0</v>
      </c>
      <c r="N2530" t="n">
        <v>0</v>
      </c>
      <c r="O2530" t="n">
        <v>0</v>
      </c>
      <c r="P2530" t="n">
        <v>0</v>
      </c>
      <c r="Q2530" t="n">
        <v>0</v>
      </c>
      <c r="R2530" s="2" t="inlineStr"/>
    </row>
    <row r="2531" ht="15" customHeight="1">
      <c r="A2531" t="inlineStr">
        <is>
          <t>A 47508-2024</t>
        </is>
      </c>
      <c r="B2531" s="1" t="n">
        <v>45587.6075</v>
      </c>
      <c r="C2531" s="1" t="n">
        <v>45962</v>
      </c>
      <c r="D2531" t="inlineStr">
        <is>
          <t>SKÅNE LÄN</t>
        </is>
      </c>
      <c r="E2531" t="inlineStr">
        <is>
          <t>OSBY</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20494-2024</t>
        </is>
      </c>
      <c r="B2532" s="1" t="n">
        <v>45435</v>
      </c>
      <c r="C2532" s="1" t="n">
        <v>45962</v>
      </c>
      <c r="D2532" t="inlineStr">
        <is>
          <t>SKÅNE LÄN</t>
        </is>
      </c>
      <c r="E2532" t="inlineStr">
        <is>
          <t>HÄSSLEHOLM</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11806-2025</t>
        </is>
      </c>
      <c r="B2533" s="1" t="n">
        <v>45727.88857638889</v>
      </c>
      <c r="C2533" s="1" t="n">
        <v>45962</v>
      </c>
      <c r="D2533" t="inlineStr">
        <is>
          <t>SKÅNE LÄN</t>
        </is>
      </c>
      <c r="E2533" t="inlineStr">
        <is>
          <t>TOMELILLA</t>
        </is>
      </c>
      <c r="G2533" t="n">
        <v>3.1</v>
      </c>
      <c r="H2533" t="n">
        <v>0</v>
      </c>
      <c r="I2533" t="n">
        <v>0</v>
      </c>
      <c r="J2533" t="n">
        <v>0</v>
      </c>
      <c r="K2533" t="n">
        <v>0</v>
      </c>
      <c r="L2533" t="n">
        <v>0</v>
      </c>
      <c r="M2533" t="n">
        <v>0</v>
      </c>
      <c r="N2533" t="n">
        <v>0</v>
      </c>
      <c r="O2533" t="n">
        <v>0</v>
      </c>
      <c r="P2533" t="n">
        <v>0</v>
      </c>
      <c r="Q2533" t="n">
        <v>0</v>
      </c>
      <c r="R2533" s="2" t="inlineStr"/>
    </row>
    <row r="2534" ht="15" customHeight="1">
      <c r="A2534" t="inlineStr">
        <is>
          <t>A 11810-2025</t>
        </is>
      </c>
      <c r="B2534" s="1" t="n">
        <v>45727.90560185185</v>
      </c>
      <c r="C2534" s="1" t="n">
        <v>45962</v>
      </c>
      <c r="D2534" t="inlineStr">
        <is>
          <t>SKÅNE LÄN</t>
        </is>
      </c>
      <c r="E2534" t="inlineStr">
        <is>
          <t>TOMELILLA</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55454-2021</t>
        </is>
      </c>
      <c r="B2535" s="1" t="n">
        <v>44475</v>
      </c>
      <c r="C2535" s="1" t="n">
        <v>45962</v>
      </c>
      <c r="D2535" t="inlineStr">
        <is>
          <t>SKÅNE LÄN</t>
        </is>
      </c>
      <c r="E2535" t="inlineStr">
        <is>
          <t>HÄSSLEHOLM</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22272-2024</t>
        </is>
      </c>
      <c r="B2536" s="1" t="n">
        <v>45446</v>
      </c>
      <c r="C2536" s="1" t="n">
        <v>45962</v>
      </c>
      <c r="D2536" t="inlineStr">
        <is>
          <t>SKÅNE LÄN</t>
        </is>
      </c>
      <c r="E2536" t="inlineStr">
        <is>
          <t>KRISTIANSTAD</t>
        </is>
      </c>
      <c r="G2536" t="n">
        <v>5.7</v>
      </c>
      <c r="H2536" t="n">
        <v>0</v>
      </c>
      <c r="I2536" t="n">
        <v>0</v>
      </c>
      <c r="J2536" t="n">
        <v>0</v>
      </c>
      <c r="K2536" t="n">
        <v>0</v>
      </c>
      <c r="L2536" t="n">
        <v>0</v>
      </c>
      <c r="M2536" t="n">
        <v>0</v>
      </c>
      <c r="N2536" t="n">
        <v>0</v>
      </c>
      <c r="O2536" t="n">
        <v>0</v>
      </c>
      <c r="P2536" t="n">
        <v>0</v>
      </c>
      <c r="Q2536" t="n">
        <v>0</v>
      </c>
      <c r="R2536" s="2" t="inlineStr"/>
    </row>
    <row r="2537" ht="15" customHeight="1">
      <c r="A2537" t="inlineStr">
        <is>
          <t>A 19009-2024</t>
        </is>
      </c>
      <c r="B2537" s="1" t="n">
        <v>45427.64453703703</v>
      </c>
      <c r="C2537" s="1" t="n">
        <v>45962</v>
      </c>
      <c r="D2537" t="inlineStr">
        <is>
          <t>SKÅNE LÄN</t>
        </is>
      </c>
      <c r="E2537" t="inlineStr">
        <is>
          <t>OSBY</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19010-2024</t>
        </is>
      </c>
      <c r="B2538" s="1" t="n">
        <v>45427.64561342593</v>
      </c>
      <c r="C2538" s="1" t="n">
        <v>45962</v>
      </c>
      <c r="D2538" t="inlineStr">
        <is>
          <t>SKÅNE LÄN</t>
        </is>
      </c>
      <c r="E2538" t="inlineStr">
        <is>
          <t>OSBY</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39507-2024</t>
        </is>
      </c>
      <c r="B2539" s="1" t="n">
        <v>45551</v>
      </c>
      <c r="C2539" s="1" t="n">
        <v>45962</v>
      </c>
      <c r="D2539" t="inlineStr">
        <is>
          <t>SKÅNE LÄN</t>
        </is>
      </c>
      <c r="E2539" t="inlineStr">
        <is>
          <t>HÖRBY</t>
        </is>
      </c>
      <c r="F2539" t="inlineStr">
        <is>
          <t>Sveaskog</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31522-2022</t>
        </is>
      </c>
      <c r="B2540" s="1" t="n">
        <v>44775.0827662037</v>
      </c>
      <c r="C2540" s="1" t="n">
        <v>45962</v>
      </c>
      <c r="D2540" t="inlineStr">
        <is>
          <t>SKÅNE LÄN</t>
        </is>
      </c>
      <c r="E2540" t="inlineStr">
        <is>
          <t>HÖRBY</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31572-2022</t>
        </is>
      </c>
      <c r="B2541" s="1" t="n">
        <v>44775</v>
      </c>
      <c r="C2541" s="1" t="n">
        <v>45962</v>
      </c>
      <c r="D2541" t="inlineStr">
        <is>
          <t>SKÅNE LÄN</t>
        </is>
      </c>
      <c r="E2541" t="inlineStr">
        <is>
          <t>HÄSSLEHOLM</t>
        </is>
      </c>
      <c r="F2541" t="inlineStr">
        <is>
          <t>Kommuner</t>
        </is>
      </c>
      <c r="G2541" t="n">
        <v>1.2</v>
      </c>
      <c r="H2541" t="n">
        <v>0</v>
      </c>
      <c r="I2541" t="n">
        <v>0</v>
      </c>
      <c r="J2541" t="n">
        <v>0</v>
      </c>
      <c r="K2541" t="n">
        <v>0</v>
      </c>
      <c r="L2541" t="n">
        <v>0</v>
      </c>
      <c r="M2541" t="n">
        <v>0</v>
      </c>
      <c r="N2541" t="n">
        <v>0</v>
      </c>
      <c r="O2541" t="n">
        <v>0</v>
      </c>
      <c r="P2541" t="n">
        <v>0</v>
      </c>
      <c r="Q2541" t="n">
        <v>0</v>
      </c>
      <c r="R2541" s="2" t="inlineStr"/>
    </row>
    <row r="2542" ht="15" customHeight="1">
      <c r="A2542" t="inlineStr">
        <is>
          <t>A 15810-2024</t>
        </is>
      </c>
      <c r="B2542" s="1" t="n">
        <v>45404</v>
      </c>
      <c r="C2542" s="1" t="n">
        <v>45962</v>
      </c>
      <c r="D2542" t="inlineStr">
        <is>
          <t>SKÅNE LÄN</t>
        </is>
      </c>
      <c r="E2542" t="inlineStr">
        <is>
          <t>KLIPPAN</t>
        </is>
      </c>
      <c r="F2542" t="inlineStr">
        <is>
          <t>Sveaskog</t>
        </is>
      </c>
      <c r="G2542" t="n">
        <v>3.7</v>
      </c>
      <c r="H2542" t="n">
        <v>0</v>
      </c>
      <c r="I2542" t="n">
        <v>0</v>
      </c>
      <c r="J2542" t="n">
        <v>0</v>
      </c>
      <c r="K2542" t="n">
        <v>0</v>
      </c>
      <c r="L2542" t="n">
        <v>0</v>
      </c>
      <c r="M2542" t="n">
        <v>0</v>
      </c>
      <c r="N2542" t="n">
        <v>0</v>
      </c>
      <c r="O2542" t="n">
        <v>0</v>
      </c>
      <c r="P2542" t="n">
        <v>0</v>
      </c>
      <c r="Q2542" t="n">
        <v>0</v>
      </c>
      <c r="R2542" s="2" t="inlineStr"/>
    </row>
    <row r="2543" ht="15" customHeight="1">
      <c r="A2543" t="inlineStr">
        <is>
          <t>A 25958-2023</t>
        </is>
      </c>
      <c r="B2543" s="1" t="n">
        <v>45090</v>
      </c>
      <c r="C2543" s="1" t="n">
        <v>45962</v>
      </c>
      <c r="D2543" t="inlineStr">
        <is>
          <t>SKÅNE LÄN</t>
        </is>
      </c>
      <c r="E2543" t="inlineStr">
        <is>
          <t>ÖRKELLJUNGA</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4493-2024</t>
        </is>
      </c>
      <c r="B2544" s="1" t="n">
        <v>45327</v>
      </c>
      <c r="C2544" s="1" t="n">
        <v>45962</v>
      </c>
      <c r="D2544" t="inlineStr">
        <is>
          <t>SKÅNE LÄN</t>
        </is>
      </c>
      <c r="E2544" t="inlineStr">
        <is>
          <t>BÅSTAD</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4356-2024</t>
        </is>
      </c>
      <c r="B2545" s="1" t="n">
        <v>45325.36195601852</v>
      </c>
      <c r="C2545" s="1" t="n">
        <v>45962</v>
      </c>
      <c r="D2545" t="inlineStr">
        <is>
          <t>SKÅNE LÄN</t>
        </is>
      </c>
      <c r="E2545" t="inlineStr">
        <is>
          <t>HÄSSLEHOLM</t>
        </is>
      </c>
      <c r="G2545" t="n">
        <v>3.2</v>
      </c>
      <c r="H2545" t="n">
        <v>0</v>
      </c>
      <c r="I2545" t="n">
        <v>0</v>
      </c>
      <c r="J2545" t="n">
        <v>0</v>
      </c>
      <c r="K2545" t="n">
        <v>0</v>
      </c>
      <c r="L2545" t="n">
        <v>0</v>
      </c>
      <c r="M2545" t="n">
        <v>0</v>
      </c>
      <c r="N2545" t="n">
        <v>0</v>
      </c>
      <c r="O2545" t="n">
        <v>0</v>
      </c>
      <c r="P2545" t="n">
        <v>0</v>
      </c>
      <c r="Q2545" t="n">
        <v>0</v>
      </c>
      <c r="R2545" s="2" t="inlineStr"/>
    </row>
    <row r="2546" ht="15" customHeight="1">
      <c r="A2546" t="inlineStr">
        <is>
          <t>A 51571-2023</t>
        </is>
      </c>
      <c r="B2546" s="1" t="n">
        <v>45222</v>
      </c>
      <c r="C2546" s="1" t="n">
        <v>45962</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24936-2024</t>
        </is>
      </c>
      <c r="B2547" s="1" t="n">
        <v>45461.61817129629</v>
      </c>
      <c r="C2547" s="1" t="n">
        <v>45962</v>
      </c>
      <c r="D2547" t="inlineStr">
        <is>
          <t>SKÅNE LÄN</t>
        </is>
      </c>
      <c r="E2547" t="inlineStr">
        <is>
          <t>TOMELILLA</t>
        </is>
      </c>
      <c r="F2547" t="inlineStr">
        <is>
          <t>Sveaskog</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1904-2023</t>
        </is>
      </c>
      <c r="B2548" s="1" t="n">
        <v>44939</v>
      </c>
      <c r="C2548" s="1" t="n">
        <v>45962</v>
      </c>
      <c r="D2548" t="inlineStr">
        <is>
          <t>SKÅNE LÄN</t>
        </is>
      </c>
      <c r="E2548" t="inlineStr">
        <is>
          <t>ÖRKELLJUNGA</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55662-2022</t>
        </is>
      </c>
      <c r="B2549" s="1" t="n">
        <v>44883</v>
      </c>
      <c r="C2549" s="1" t="n">
        <v>45962</v>
      </c>
      <c r="D2549" t="inlineStr">
        <is>
          <t>SKÅNE LÄN</t>
        </is>
      </c>
      <c r="E2549" t="inlineStr">
        <is>
          <t>HÄSSLEHOLM</t>
        </is>
      </c>
      <c r="F2549" t="inlineStr">
        <is>
          <t>Övriga Aktiebolag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42373-2024</t>
        </is>
      </c>
      <c r="B2550" s="1" t="n">
        <v>45564.54063657407</v>
      </c>
      <c r="C2550" s="1" t="n">
        <v>45962</v>
      </c>
      <c r="D2550" t="inlineStr">
        <is>
          <t>SKÅNE LÄN</t>
        </is>
      </c>
      <c r="E2550" t="inlineStr">
        <is>
          <t>ÖSTRA GÖINGE</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50543-2024</t>
        </is>
      </c>
      <c r="B2551" s="1" t="n">
        <v>45600</v>
      </c>
      <c r="C2551" s="1" t="n">
        <v>45962</v>
      </c>
      <c r="D2551" t="inlineStr">
        <is>
          <t>SKÅNE LÄN</t>
        </is>
      </c>
      <c r="E2551" t="inlineStr">
        <is>
          <t>KRISTIANSTAD</t>
        </is>
      </c>
      <c r="G2551" t="n">
        <v>9.5</v>
      </c>
      <c r="H2551" t="n">
        <v>0</v>
      </c>
      <c r="I2551" t="n">
        <v>0</v>
      </c>
      <c r="J2551" t="n">
        <v>0</v>
      </c>
      <c r="K2551" t="n">
        <v>0</v>
      </c>
      <c r="L2551" t="n">
        <v>0</v>
      </c>
      <c r="M2551" t="n">
        <v>0</v>
      </c>
      <c r="N2551" t="n">
        <v>0</v>
      </c>
      <c r="O2551" t="n">
        <v>0</v>
      </c>
      <c r="P2551" t="n">
        <v>0</v>
      </c>
      <c r="Q2551" t="n">
        <v>0</v>
      </c>
      <c r="R2551" s="2" t="inlineStr"/>
    </row>
    <row r="2552" ht="15" customHeight="1">
      <c r="A2552" t="inlineStr">
        <is>
          <t>A 54184-2024</t>
        </is>
      </c>
      <c r="B2552" s="1" t="n">
        <v>45616.64002314815</v>
      </c>
      <c r="C2552" s="1" t="n">
        <v>45962</v>
      </c>
      <c r="D2552" t="inlineStr">
        <is>
          <t>SKÅNE LÄN</t>
        </is>
      </c>
      <c r="E2552" t="inlineStr">
        <is>
          <t>HÖRBY</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32714-2023</t>
        </is>
      </c>
      <c r="B2553" s="1" t="n">
        <v>45121</v>
      </c>
      <c r="C2553" s="1" t="n">
        <v>45962</v>
      </c>
      <c r="D2553" t="inlineStr">
        <is>
          <t>SKÅNE LÄN</t>
        </is>
      </c>
      <c r="E2553" t="inlineStr">
        <is>
          <t>KRISTIANSTAD</t>
        </is>
      </c>
      <c r="F2553" t="inlineStr">
        <is>
          <t>Sveaskog</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9166-2025</t>
        </is>
      </c>
      <c r="B2554" s="1" t="n">
        <v>45714.37358796296</v>
      </c>
      <c r="C2554" s="1" t="n">
        <v>45962</v>
      </c>
      <c r="D2554" t="inlineStr">
        <is>
          <t>SKÅNE LÄN</t>
        </is>
      </c>
      <c r="E2554" t="inlineStr">
        <is>
          <t>BROMÖLLA</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54095-2022</t>
        </is>
      </c>
      <c r="B2555" s="1" t="n">
        <v>44879</v>
      </c>
      <c r="C2555" s="1" t="n">
        <v>45962</v>
      </c>
      <c r="D2555" t="inlineStr">
        <is>
          <t>SKÅNE LÄN</t>
        </is>
      </c>
      <c r="E2555" t="inlineStr">
        <is>
          <t>PERSTORP</t>
        </is>
      </c>
      <c r="F2555" t="inlineStr">
        <is>
          <t>Övriga Aktiebolag</t>
        </is>
      </c>
      <c r="G2555" t="n">
        <v>1.6</v>
      </c>
      <c r="H2555" t="n">
        <v>0</v>
      </c>
      <c r="I2555" t="n">
        <v>0</v>
      </c>
      <c r="J2555" t="n">
        <v>0</v>
      </c>
      <c r="K2555" t="n">
        <v>0</v>
      </c>
      <c r="L2555" t="n">
        <v>0</v>
      </c>
      <c r="M2555" t="n">
        <v>0</v>
      </c>
      <c r="N2555" t="n">
        <v>0</v>
      </c>
      <c r="O2555" t="n">
        <v>0</v>
      </c>
      <c r="P2555" t="n">
        <v>0</v>
      </c>
      <c r="Q2555" t="n">
        <v>0</v>
      </c>
      <c r="R2555" s="2" t="inlineStr"/>
    </row>
    <row r="2556" ht="15" customHeight="1">
      <c r="A2556" t="inlineStr">
        <is>
          <t>A 9190-2025</t>
        </is>
      </c>
      <c r="B2556" s="1" t="n">
        <v>45714.45700231481</v>
      </c>
      <c r="C2556" s="1" t="n">
        <v>45962</v>
      </c>
      <c r="D2556" t="inlineStr">
        <is>
          <t>SKÅNE LÄN</t>
        </is>
      </c>
      <c r="E2556" t="inlineStr">
        <is>
          <t>OSBY</t>
        </is>
      </c>
      <c r="F2556" t="inlineStr">
        <is>
          <t>Kommuner</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3886-2024</t>
        </is>
      </c>
      <c r="B2557" s="1" t="n">
        <v>45322.44539351852</v>
      </c>
      <c r="C2557" s="1" t="n">
        <v>45962</v>
      </c>
      <c r="D2557" t="inlineStr">
        <is>
          <t>SKÅNE LÄN</t>
        </is>
      </c>
      <c r="E2557" t="inlineStr">
        <is>
          <t>HÄSSLEHOLM</t>
        </is>
      </c>
      <c r="G2557" t="n">
        <v>9.199999999999999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12047-2025</t>
        </is>
      </c>
      <c r="B2558" s="1" t="n">
        <v>45728.66428240741</v>
      </c>
      <c r="C2558" s="1" t="n">
        <v>45962</v>
      </c>
      <c r="D2558" t="inlineStr">
        <is>
          <t>SKÅNE LÄN</t>
        </is>
      </c>
      <c r="E2558" t="inlineStr">
        <is>
          <t>ÖSTRA GÖINGE</t>
        </is>
      </c>
      <c r="F2558" t="inlineStr">
        <is>
          <t>Sveaskog</t>
        </is>
      </c>
      <c r="G2558" t="n">
        <v>10.7</v>
      </c>
      <c r="H2558" t="n">
        <v>0</v>
      </c>
      <c r="I2558" t="n">
        <v>0</v>
      </c>
      <c r="J2558" t="n">
        <v>0</v>
      </c>
      <c r="K2558" t="n">
        <v>0</v>
      </c>
      <c r="L2558" t="n">
        <v>0</v>
      </c>
      <c r="M2558" t="n">
        <v>0</v>
      </c>
      <c r="N2558" t="n">
        <v>0</v>
      </c>
      <c r="O2558" t="n">
        <v>0</v>
      </c>
      <c r="P2558" t="n">
        <v>0</v>
      </c>
      <c r="Q2558" t="n">
        <v>0</v>
      </c>
      <c r="R2558" s="2" t="inlineStr"/>
    </row>
    <row r="2559" ht="15" customHeight="1">
      <c r="A2559" t="inlineStr">
        <is>
          <t>A 23980-2024</t>
        </is>
      </c>
      <c r="B2559" s="1" t="n">
        <v>45456</v>
      </c>
      <c r="C2559" s="1" t="n">
        <v>45962</v>
      </c>
      <c r="D2559" t="inlineStr">
        <is>
          <t>SKÅNE LÄN</t>
        </is>
      </c>
      <c r="E2559" t="inlineStr">
        <is>
          <t>ÄNGELHOLM</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9924-2025</t>
        </is>
      </c>
      <c r="B2560" s="1" t="n">
        <v>45717.72505787037</v>
      </c>
      <c r="C2560" s="1" t="n">
        <v>45962</v>
      </c>
      <c r="D2560" t="inlineStr">
        <is>
          <t>SKÅNE LÄN</t>
        </is>
      </c>
      <c r="E2560" t="inlineStr">
        <is>
          <t>HÄSSLEHOLM</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47880-2024</t>
        </is>
      </c>
      <c r="B2561" s="1" t="n">
        <v>45588.7440625</v>
      </c>
      <c r="C2561" s="1" t="n">
        <v>45962</v>
      </c>
      <c r="D2561" t="inlineStr">
        <is>
          <t>SKÅNE LÄN</t>
        </is>
      </c>
      <c r="E2561" t="inlineStr">
        <is>
          <t>OSBY</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22587-2025</t>
        </is>
      </c>
      <c r="B2562" s="1" t="n">
        <v>45789.39974537037</v>
      </c>
      <c r="C2562" s="1" t="n">
        <v>45962</v>
      </c>
      <c r="D2562" t="inlineStr">
        <is>
          <t>SKÅNE LÄN</t>
        </is>
      </c>
      <c r="E2562" t="inlineStr">
        <is>
          <t>HÄSSLEHOLM</t>
        </is>
      </c>
      <c r="G2562" t="n">
        <v>5.7</v>
      </c>
      <c r="H2562" t="n">
        <v>0</v>
      </c>
      <c r="I2562" t="n">
        <v>0</v>
      </c>
      <c r="J2562" t="n">
        <v>0</v>
      </c>
      <c r="K2562" t="n">
        <v>0</v>
      </c>
      <c r="L2562" t="n">
        <v>0</v>
      </c>
      <c r="M2562" t="n">
        <v>0</v>
      </c>
      <c r="N2562" t="n">
        <v>0</v>
      </c>
      <c r="O2562" t="n">
        <v>0</v>
      </c>
      <c r="P2562" t="n">
        <v>0</v>
      </c>
      <c r="Q2562" t="n">
        <v>0</v>
      </c>
      <c r="R2562" s="2" t="inlineStr"/>
    </row>
    <row r="2563" ht="15" customHeight="1">
      <c r="A2563" t="inlineStr">
        <is>
          <t>A 44363-2024</t>
        </is>
      </c>
      <c r="B2563" s="1" t="n">
        <v>45573</v>
      </c>
      <c r="C2563" s="1" t="n">
        <v>45962</v>
      </c>
      <c r="D2563" t="inlineStr">
        <is>
          <t>SKÅNE LÄN</t>
        </is>
      </c>
      <c r="E2563" t="inlineStr">
        <is>
          <t>KRISTIANSTAD</t>
        </is>
      </c>
      <c r="F2563" t="inlineStr">
        <is>
          <t>Sveaskog</t>
        </is>
      </c>
      <c r="G2563" t="n">
        <v>5.1</v>
      </c>
      <c r="H2563" t="n">
        <v>0</v>
      </c>
      <c r="I2563" t="n">
        <v>0</v>
      </c>
      <c r="J2563" t="n">
        <v>0</v>
      </c>
      <c r="K2563" t="n">
        <v>0</v>
      </c>
      <c r="L2563" t="n">
        <v>0</v>
      </c>
      <c r="M2563" t="n">
        <v>0</v>
      </c>
      <c r="N2563" t="n">
        <v>0</v>
      </c>
      <c r="O2563" t="n">
        <v>0</v>
      </c>
      <c r="P2563" t="n">
        <v>0</v>
      </c>
      <c r="Q2563" t="n">
        <v>0</v>
      </c>
      <c r="R2563" s="2" t="inlineStr"/>
    </row>
    <row r="2564" ht="15" customHeight="1">
      <c r="A2564" t="inlineStr">
        <is>
          <t>A 788-2024</t>
        </is>
      </c>
      <c r="B2564" s="1" t="n">
        <v>45300.56560185185</v>
      </c>
      <c r="C2564" s="1" t="n">
        <v>45962</v>
      </c>
      <c r="D2564" t="inlineStr">
        <is>
          <t>SKÅNE LÄN</t>
        </is>
      </c>
      <c r="E2564" t="inlineStr">
        <is>
          <t>HÖRBY</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12598-2025</t>
        </is>
      </c>
      <c r="B2565" s="1" t="n">
        <v>45733</v>
      </c>
      <c r="C2565" s="1" t="n">
        <v>45962</v>
      </c>
      <c r="D2565" t="inlineStr">
        <is>
          <t>SKÅNE LÄN</t>
        </is>
      </c>
      <c r="E2565" t="inlineStr">
        <is>
          <t>OSBY</t>
        </is>
      </c>
      <c r="F2565" t="inlineStr">
        <is>
          <t>Sveaskog</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49181-2024</t>
        </is>
      </c>
      <c r="B2566" s="1" t="n">
        <v>45595</v>
      </c>
      <c r="C2566" s="1" t="n">
        <v>45962</v>
      </c>
      <c r="D2566" t="inlineStr">
        <is>
          <t>SKÅNE LÄN</t>
        </is>
      </c>
      <c r="E2566" t="inlineStr">
        <is>
          <t>HÄSSLEHOLM</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60920-2024</t>
        </is>
      </c>
      <c r="B2567" s="1" t="n">
        <v>45645.34442129629</v>
      </c>
      <c r="C2567" s="1" t="n">
        <v>45962</v>
      </c>
      <c r="D2567" t="inlineStr">
        <is>
          <t>SKÅNE LÄN</t>
        </is>
      </c>
      <c r="E2567" t="inlineStr">
        <is>
          <t>HÄSSLEHOLM</t>
        </is>
      </c>
      <c r="G2567" t="n">
        <v>2.6</v>
      </c>
      <c r="H2567" t="n">
        <v>0</v>
      </c>
      <c r="I2567" t="n">
        <v>0</v>
      </c>
      <c r="J2567" t="n">
        <v>0</v>
      </c>
      <c r="K2567" t="n">
        <v>0</v>
      </c>
      <c r="L2567" t="n">
        <v>0</v>
      </c>
      <c r="M2567" t="n">
        <v>0</v>
      </c>
      <c r="N2567" t="n">
        <v>0</v>
      </c>
      <c r="O2567" t="n">
        <v>0</v>
      </c>
      <c r="P2567" t="n">
        <v>0</v>
      </c>
      <c r="Q2567" t="n">
        <v>0</v>
      </c>
      <c r="R2567" s="2" t="inlineStr"/>
    </row>
    <row r="2568" ht="15" customHeight="1">
      <c r="A2568" t="inlineStr">
        <is>
          <t>A 40536-2024</t>
        </is>
      </c>
      <c r="B2568" s="1" t="n">
        <v>45555.61314814815</v>
      </c>
      <c r="C2568" s="1" t="n">
        <v>45962</v>
      </c>
      <c r="D2568" t="inlineStr">
        <is>
          <t>SKÅNE LÄN</t>
        </is>
      </c>
      <c r="E2568" t="inlineStr">
        <is>
          <t>HÄSSLEHOLM</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25963-2023</t>
        </is>
      </c>
      <c r="B2569" s="1" t="n">
        <v>45090</v>
      </c>
      <c r="C2569" s="1" t="n">
        <v>45962</v>
      </c>
      <c r="D2569" t="inlineStr">
        <is>
          <t>SKÅNE LÄN</t>
        </is>
      </c>
      <c r="E2569" t="inlineStr">
        <is>
          <t>ÖRKELLJUNGA</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3480-2024</t>
        </is>
      </c>
      <c r="B2570" s="1" t="n">
        <v>45320.43998842593</v>
      </c>
      <c r="C2570" s="1" t="n">
        <v>45962</v>
      </c>
      <c r="D2570" t="inlineStr">
        <is>
          <t>SKÅNE LÄN</t>
        </is>
      </c>
      <c r="E2570" t="inlineStr">
        <is>
          <t>HÄSSLEHOLM</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62293-2022</t>
        </is>
      </c>
      <c r="B2571" s="1" t="n">
        <v>44923</v>
      </c>
      <c r="C2571" s="1" t="n">
        <v>45962</v>
      </c>
      <c r="D2571" t="inlineStr">
        <is>
          <t>SKÅNE LÄN</t>
        </is>
      </c>
      <c r="E2571" t="inlineStr">
        <is>
          <t>PERSTORP</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5980-2024</t>
        </is>
      </c>
      <c r="B2572" s="1" t="n">
        <v>45335</v>
      </c>
      <c r="C2572" s="1" t="n">
        <v>45962</v>
      </c>
      <c r="D2572" t="inlineStr">
        <is>
          <t>SKÅNE LÄN</t>
        </is>
      </c>
      <c r="E2572" t="inlineStr">
        <is>
          <t>HÄSSLEHOLM</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16373-2024</t>
        </is>
      </c>
      <c r="B2573" s="1" t="n">
        <v>45407.60150462963</v>
      </c>
      <c r="C2573" s="1" t="n">
        <v>45962</v>
      </c>
      <c r="D2573" t="inlineStr">
        <is>
          <t>SKÅNE LÄN</t>
        </is>
      </c>
      <c r="E2573" t="inlineStr">
        <is>
          <t>SJÖBO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982-2025</t>
        </is>
      </c>
      <c r="B2574" s="1" t="n">
        <v>45666.41855324074</v>
      </c>
      <c r="C2574" s="1" t="n">
        <v>45962</v>
      </c>
      <c r="D2574" t="inlineStr">
        <is>
          <t>SKÅNE LÄN</t>
        </is>
      </c>
      <c r="E2574" t="inlineStr">
        <is>
          <t>PERSTORP</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16495-2025</t>
        </is>
      </c>
      <c r="B2575" s="1" t="n">
        <v>45751.59857638889</v>
      </c>
      <c r="C2575" s="1" t="n">
        <v>45962</v>
      </c>
      <c r="D2575" t="inlineStr">
        <is>
          <t>SKÅNE LÄN</t>
        </is>
      </c>
      <c r="E2575" t="inlineStr">
        <is>
          <t>ÖSTRA GÖINGE</t>
        </is>
      </c>
      <c r="G2575" t="n">
        <v>5.4</v>
      </c>
      <c r="H2575" t="n">
        <v>0</v>
      </c>
      <c r="I2575" t="n">
        <v>0</v>
      </c>
      <c r="J2575" t="n">
        <v>0</v>
      </c>
      <c r="K2575" t="n">
        <v>0</v>
      </c>
      <c r="L2575" t="n">
        <v>0</v>
      </c>
      <c r="M2575" t="n">
        <v>0</v>
      </c>
      <c r="N2575" t="n">
        <v>0</v>
      </c>
      <c r="O2575" t="n">
        <v>0</v>
      </c>
      <c r="P2575" t="n">
        <v>0</v>
      </c>
      <c r="Q2575" t="n">
        <v>0</v>
      </c>
      <c r="R2575" s="2" t="inlineStr"/>
    </row>
    <row r="2576" ht="15" customHeight="1">
      <c r="A2576" t="inlineStr">
        <is>
          <t>A 32717-2023</t>
        </is>
      </c>
      <c r="B2576" s="1" t="n">
        <v>45121</v>
      </c>
      <c r="C2576" s="1" t="n">
        <v>45962</v>
      </c>
      <c r="D2576" t="inlineStr">
        <is>
          <t>SKÅNE LÄN</t>
        </is>
      </c>
      <c r="E2576" t="inlineStr">
        <is>
          <t>KRISTIANSTAD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4688-2022</t>
        </is>
      </c>
      <c r="B2577" s="1" t="n">
        <v>44592</v>
      </c>
      <c r="C2577" s="1" t="n">
        <v>45962</v>
      </c>
      <c r="D2577" t="inlineStr">
        <is>
          <t>SKÅNE LÄN</t>
        </is>
      </c>
      <c r="E2577" t="inlineStr">
        <is>
          <t>PERSTORP</t>
        </is>
      </c>
      <c r="G2577" t="n">
        <v>2.3</v>
      </c>
      <c r="H2577" t="n">
        <v>0</v>
      </c>
      <c r="I2577" t="n">
        <v>0</v>
      </c>
      <c r="J2577" t="n">
        <v>0</v>
      </c>
      <c r="K2577" t="n">
        <v>0</v>
      </c>
      <c r="L2577" t="n">
        <v>0</v>
      </c>
      <c r="M2577" t="n">
        <v>0</v>
      </c>
      <c r="N2577" t="n">
        <v>0</v>
      </c>
      <c r="O2577" t="n">
        <v>0</v>
      </c>
      <c r="P2577" t="n">
        <v>0</v>
      </c>
      <c r="Q2577" t="n">
        <v>0</v>
      </c>
      <c r="R2577" s="2" t="inlineStr"/>
    </row>
    <row r="2578" ht="15" customHeight="1">
      <c r="A2578" t="inlineStr">
        <is>
          <t>A 56386-2023</t>
        </is>
      </c>
      <c r="B2578" s="1" t="n">
        <v>45243</v>
      </c>
      <c r="C2578" s="1" t="n">
        <v>45962</v>
      </c>
      <c r="D2578" t="inlineStr">
        <is>
          <t>SKÅNE LÄN</t>
        </is>
      </c>
      <c r="E2578" t="inlineStr">
        <is>
          <t>HÄSSLEHOLM</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17907-2024</t>
        </is>
      </c>
      <c r="B2579" s="1" t="n">
        <v>45419.50770833333</v>
      </c>
      <c r="C2579" s="1" t="n">
        <v>45962</v>
      </c>
      <c r="D2579" t="inlineStr">
        <is>
          <t>SKÅNE LÄN</t>
        </is>
      </c>
      <c r="E2579" t="inlineStr">
        <is>
          <t>TOMELILLA</t>
        </is>
      </c>
      <c r="G2579" t="n">
        <v>3.1</v>
      </c>
      <c r="H2579" t="n">
        <v>0</v>
      </c>
      <c r="I2579" t="n">
        <v>0</v>
      </c>
      <c r="J2579" t="n">
        <v>0</v>
      </c>
      <c r="K2579" t="n">
        <v>0</v>
      </c>
      <c r="L2579" t="n">
        <v>0</v>
      </c>
      <c r="M2579" t="n">
        <v>0</v>
      </c>
      <c r="N2579" t="n">
        <v>0</v>
      </c>
      <c r="O2579" t="n">
        <v>0</v>
      </c>
      <c r="P2579" t="n">
        <v>0</v>
      </c>
      <c r="Q2579" t="n">
        <v>0</v>
      </c>
      <c r="R2579" s="2" t="inlineStr"/>
    </row>
    <row r="2580" ht="15" customHeight="1">
      <c r="A2580" t="inlineStr">
        <is>
          <t>A 19097-2025</t>
        </is>
      </c>
      <c r="B2580" s="1" t="n">
        <v>45767.68126157407</v>
      </c>
      <c r="C2580" s="1" t="n">
        <v>45962</v>
      </c>
      <c r="D2580" t="inlineStr">
        <is>
          <t>SKÅNE LÄN</t>
        </is>
      </c>
      <c r="E2580" t="inlineStr">
        <is>
          <t>KLIPPAN</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10742-2024</t>
        </is>
      </c>
      <c r="B2581" s="1" t="n">
        <v>45369.51898148148</v>
      </c>
      <c r="C2581" s="1" t="n">
        <v>45962</v>
      </c>
      <c r="D2581" t="inlineStr">
        <is>
          <t>SKÅNE LÄN</t>
        </is>
      </c>
      <c r="E2581" t="inlineStr">
        <is>
          <t>PERSTORP</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12000-2025</t>
        </is>
      </c>
      <c r="B2582" s="1" t="n">
        <v>45728.61288194444</v>
      </c>
      <c r="C2582" s="1" t="n">
        <v>45962</v>
      </c>
      <c r="D2582" t="inlineStr">
        <is>
          <t>SKÅNE LÄN</t>
        </is>
      </c>
      <c r="E2582" t="inlineStr">
        <is>
          <t>SIMRISHAMN</t>
        </is>
      </c>
      <c r="F2582" t="inlineStr">
        <is>
          <t>Övriga Aktiebolag</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10802-2024</t>
        </is>
      </c>
      <c r="B2583" s="1" t="n">
        <v>45369</v>
      </c>
      <c r="C2583" s="1" t="n">
        <v>45962</v>
      </c>
      <c r="D2583" t="inlineStr">
        <is>
          <t>SKÅNE LÄN</t>
        </is>
      </c>
      <c r="E2583" t="inlineStr">
        <is>
          <t>HÄSSLEHOLM</t>
        </is>
      </c>
      <c r="G2583" t="n">
        <v>3.4</v>
      </c>
      <c r="H2583" t="n">
        <v>0</v>
      </c>
      <c r="I2583" t="n">
        <v>0</v>
      </c>
      <c r="J2583" t="n">
        <v>0</v>
      </c>
      <c r="K2583" t="n">
        <v>0</v>
      </c>
      <c r="L2583" t="n">
        <v>0</v>
      </c>
      <c r="M2583" t="n">
        <v>0</v>
      </c>
      <c r="N2583" t="n">
        <v>0</v>
      </c>
      <c r="O2583" t="n">
        <v>0</v>
      </c>
      <c r="P2583" t="n">
        <v>0</v>
      </c>
      <c r="Q2583" t="n">
        <v>0</v>
      </c>
      <c r="R2583" s="2" t="inlineStr"/>
    </row>
    <row r="2584" ht="15" customHeight="1">
      <c r="A2584" t="inlineStr">
        <is>
          <t>A 61137-2021</t>
        </is>
      </c>
      <c r="B2584" s="1" t="n">
        <v>44497</v>
      </c>
      <c r="C2584" s="1" t="n">
        <v>45962</v>
      </c>
      <c r="D2584" t="inlineStr">
        <is>
          <t>SKÅNE LÄN</t>
        </is>
      </c>
      <c r="E2584" t="inlineStr">
        <is>
          <t>KRISTIANSTAD</t>
        </is>
      </c>
      <c r="G2584" t="n">
        <v>2.7</v>
      </c>
      <c r="H2584" t="n">
        <v>0</v>
      </c>
      <c r="I2584" t="n">
        <v>0</v>
      </c>
      <c r="J2584" t="n">
        <v>0</v>
      </c>
      <c r="K2584" t="n">
        <v>0</v>
      </c>
      <c r="L2584" t="n">
        <v>0</v>
      </c>
      <c r="M2584" t="n">
        <v>0</v>
      </c>
      <c r="N2584" t="n">
        <v>0</v>
      </c>
      <c r="O2584" t="n">
        <v>0</v>
      </c>
      <c r="P2584" t="n">
        <v>0</v>
      </c>
      <c r="Q2584" t="n">
        <v>0</v>
      </c>
      <c r="R2584" s="2" t="inlineStr"/>
    </row>
    <row r="2585" ht="15" customHeight="1">
      <c r="A2585" t="inlineStr">
        <is>
          <t>A 15784-2021</t>
        </is>
      </c>
      <c r="B2585" s="1" t="n">
        <v>44286</v>
      </c>
      <c r="C2585" s="1" t="n">
        <v>45962</v>
      </c>
      <c r="D2585" t="inlineStr">
        <is>
          <t>SKÅNE LÄN</t>
        </is>
      </c>
      <c r="E2585" t="inlineStr">
        <is>
          <t>BROMÖLLA</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32794-2023</t>
        </is>
      </c>
      <c r="B2586" s="1" t="n">
        <v>45124.40446759259</v>
      </c>
      <c r="C2586" s="1" t="n">
        <v>45962</v>
      </c>
      <c r="D2586" t="inlineStr">
        <is>
          <t>SKÅNE LÄN</t>
        </is>
      </c>
      <c r="E2586" t="inlineStr">
        <is>
          <t>HÄSSLEHOLM</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29274-2023</t>
        </is>
      </c>
      <c r="B2587" s="1" t="n">
        <v>45105</v>
      </c>
      <c r="C2587" s="1" t="n">
        <v>45962</v>
      </c>
      <c r="D2587" t="inlineStr">
        <is>
          <t>SKÅNE LÄN</t>
        </is>
      </c>
      <c r="E2587" t="inlineStr">
        <is>
          <t>HÄSSLEHOLM</t>
        </is>
      </c>
      <c r="G2587" t="n">
        <v>3.4</v>
      </c>
      <c r="H2587" t="n">
        <v>0</v>
      </c>
      <c r="I2587" t="n">
        <v>0</v>
      </c>
      <c r="J2587" t="n">
        <v>0</v>
      </c>
      <c r="K2587" t="n">
        <v>0</v>
      </c>
      <c r="L2587" t="n">
        <v>0</v>
      </c>
      <c r="M2587" t="n">
        <v>0</v>
      </c>
      <c r="N2587" t="n">
        <v>0</v>
      </c>
      <c r="O2587" t="n">
        <v>0</v>
      </c>
      <c r="P2587" t="n">
        <v>0</v>
      </c>
      <c r="Q2587" t="n">
        <v>0</v>
      </c>
      <c r="R2587" s="2" t="inlineStr"/>
    </row>
    <row r="2588" ht="15" customHeight="1">
      <c r="A2588" t="inlineStr">
        <is>
          <t>A 8989-2024</t>
        </is>
      </c>
      <c r="B2588" s="1" t="n">
        <v>45356</v>
      </c>
      <c r="C2588" s="1" t="n">
        <v>45962</v>
      </c>
      <c r="D2588" t="inlineStr">
        <is>
          <t>SKÅNE LÄN</t>
        </is>
      </c>
      <c r="E2588" t="inlineStr">
        <is>
          <t>OSBY</t>
        </is>
      </c>
      <c r="G2588" t="n">
        <v>4.2</v>
      </c>
      <c r="H2588" t="n">
        <v>0</v>
      </c>
      <c r="I2588" t="n">
        <v>0</v>
      </c>
      <c r="J2588" t="n">
        <v>0</v>
      </c>
      <c r="K2588" t="n">
        <v>0</v>
      </c>
      <c r="L2588" t="n">
        <v>0</v>
      </c>
      <c r="M2588" t="n">
        <v>0</v>
      </c>
      <c r="N2588" t="n">
        <v>0</v>
      </c>
      <c r="O2588" t="n">
        <v>0</v>
      </c>
      <c r="P2588" t="n">
        <v>0</v>
      </c>
      <c r="Q2588" t="n">
        <v>0</v>
      </c>
      <c r="R2588" s="2" t="inlineStr"/>
    </row>
    <row r="2589" ht="15" customHeight="1">
      <c r="A2589" t="inlineStr">
        <is>
          <t>A 9002-2024</t>
        </is>
      </c>
      <c r="B2589" s="1" t="n">
        <v>45357</v>
      </c>
      <c r="C2589" s="1" t="n">
        <v>45962</v>
      </c>
      <c r="D2589" t="inlineStr">
        <is>
          <t>SKÅNE LÄN</t>
        </is>
      </c>
      <c r="E2589" t="inlineStr">
        <is>
          <t>KRISTIANSTAD</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61932-2023</t>
        </is>
      </c>
      <c r="B2590" s="1" t="n">
        <v>45266.53761574074</v>
      </c>
      <c r="C2590" s="1" t="n">
        <v>45962</v>
      </c>
      <c r="D2590" t="inlineStr">
        <is>
          <t>SKÅNE LÄN</t>
        </is>
      </c>
      <c r="E2590" t="inlineStr">
        <is>
          <t>HÄSSLEHOLM</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27606-2024</t>
        </is>
      </c>
      <c r="B2591" s="1" t="n">
        <v>45474</v>
      </c>
      <c r="C2591" s="1" t="n">
        <v>45962</v>
      </c>
      <c r="D2591" t="inlineStr">
        <is>
          <t>SKÅNE LÄN</t>
        </is>
      </c>
      <c r="E2591" t="inlineStr">
        <is>
          <t>HÄSSLEHOLM</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13433-2022</t>
        </is>
      </c>
      <c r="B2592" s="1" t="n">
        <v>44645.58873842593</v>
      </c>
      <c r="C2592" s="1" t="n">
        <v>45962</v>
      </c>
      <c r="D2592" t="inlineStr">
        <is>
          <t>SKÅNE LÄN</t>
        </is>
      </c>
      <c r="E2592" t="inlineStr">
        <is>
          <t>KRISTIANSTAD</t>
        </is>
      </c>
      <c r="G2592" t="n">
        <v>3.6</v>
      </c>
      <c r="H2592" t="n">
        <v>0</v>
      </c>
      <c r="I2592" t="n">
        <v>0</v>
      </c>
      <c r="J2592" t="n">
        <v>0</v>
      </c>
      <c r="K2592" t="n">
        <v>0</v>
      </c>
      <c r="L2592" t="n">
        <v>0</v>
      </c>
      <c r="M2592" t="n">
        <v>0</v>
      </c>
      <c r="N2592" t="n">
        <v>0</v>
      </c>
      <c r="O2592" t="n">
        <v>0</v>
      </c>
      <c r="P2592" t="n">
        <v>0</v>
      </c>
      <c r="Q2592" t="n">
        <v>0</v>
      </c>
      <c r="R2592" s="2" t="inlineStr"/>
    </row>
    <row r="2593" ht="15" customHeight="1">
      <c r="A2593" t="inlineStr">
        <is>
          <t>A 11037-2024</t>
        </is>
      </c>
      <c r="B2593" s="1" t="n">
        <v>45370</v>
      </c>
      <c r="C2593" s="1" t="n">
        <v>45962</v>
      </c>
      <c r="D2593" t="inlineStr">
        <is>
          <t>SKÅNE LÄN</t>
        </is>
      </c>
      <c r="E2593" t="inlineStr">
        <is>
          <t>KRISTIANSTAD</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30407-2024</t>
        </is>
      </c>
      <c r="B2594" s="1" t="n">
        <v>45491.60534722222</v>
      </c>
      <c r="C2594" s="1" t="n">
        <v>45962</v>
      </c>
      <c r="D2594" t="inlineStr">
        <is>
          <t>SKÅNE LÄN</t>
        </is>
      </c>
      <c r="E2594" t="inlineStr">
        <is>
          <t>BROMÖLLA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61436-2024</t>
        </is>
      </c>
      <c r="B2595" s="1" t="n">
        <v>45646.46329861111</v>
      </c>
      <c r="C2595" s="1" t="n">
        <v>45962</v>
      </c>
      <c r="D2595" t="inlineStr">
        <is>
          <t>SKÅNE LÄN</t>
        </is>
      </c>
      <c r="E2595" t="inlineStr">
        <is>
          <t>HÄSSLEHOLM</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16346-2024</t>
        </is>
      </c>
      <c r="B2596" s="1" t="n">
        <v>45407.56798611111</v>
      </c>
      <c r="C2596" s="1" t="n">
        <v>45962</v>
      </c>
      <c r="D2596" t="inlineStr">
        <is>
          <t>SKÅNE LÄN</t>
        </is>
      </c>
      <c r="E2596" t="inlineStr">
        <is>
          <t>SJÖBO</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22634-2025</t>
        </is>
      </c>
      <c r="B2597" s="1" t="n">
        <v>45789.44635416667</v>
      </c>
      <c r="C2597" s="1" t="n">
        <v>45962</v>
      </c>
      <c r="D2597" t="inlineStr">
        <is>
          <t>SKÅNE LÄN</t>
        </is>
      </c>
      <c r="E2597" t="inlineStr">
        <is>
          <t>KRISTIANSTAD</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50244-2024</t>
        </is>
      </c>
      <c r="B2598" s="1" t="n">
        <v>45600.56502314815</v>
      </c>
      <c r="C2598" s="1" t="n">
        <v>45962</v>
      </c>
      <c r="D2598" t="inlineStr">
        <is>
          <t>SKÅNE LÄN</t>
        </is>
      </c>
      <c r="E2598" t="inlineStr">
        <is>
          <t>HÄSSLEHOLM</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51248-2024</t>
        </is>
      </c>
      <c r="B2599" s="1" t="n">
        <v>45603.68197916666</v>
      </c>
      <c r="C2599" s="1" t="n">
        <v>45962</v>
      </c>
      <c r="D2599" t="inlineStr">
        <is>
          <t>SKÅNE LÄN</t>
        </is>
      </c>
      <c r="E2599" t="inlineStr">
        <is>
          <t>KRISTIANSTAD</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7211-2025</t>
        </is>
      </c>
      <c r="B2600" s="1" t="n">
        <v>45702.47258101852</v>
      </c>
      <c r="C2600" s="1" t="n">
        <v>45962</v>
      </c>
      <c r="D2600" t="inlineStr">
        <is>
          <t>SKÅNE LÄN</t>
        </is>
      </c>
      <c r="E2600" t="inlineStr">
        <is>
          <t>OSBY</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7221-2025</t>
        </is>
      </c>
      <c r="B2601" s="1" t="n">
        <v>45701</v>
      </c>
      <c r="C2601" s="1" t="n">
        <v>45962</v>
      </c>
      <c r="D2601" t="inlineStr">
        <is>
          <t>SKÅNE LÄN</t>
        </is>
      </c>
      <c r="E2601" t="inlineStr">
        <is>
          <t>HÄSSLEHOLM</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5532-2025</t>
        </is>
      </c>
      <c r="B2602" s="1" t="n">
        <v>45693</v>
      </c>
      <c r="C2602" s="1" t="n">
        <v>45962</v>
      </c>
      <c r="D2602" t="inlineStr">
        <is>
          <t>SKÅNE LÄN</t>
        </is>
      </c>
      <c r="E2602" t="inlineStr">
        <is>
          <t>HÄSSLEHOLM</t>
        </is>
      </c>
      <c r="G2602" t="n">
        <v>2.4</v>
      </c>
      <c r="H2602" t="n">
        <v>0</v>
      </c>
      <c r="I2602" t="n">
        <v>0</v>
      </c>
      <c r="J2602" t="n">
        <v>0</v>
      </c>
      <c r="K2602" t="n">
        <v>0</v>
      </c>
      <c r="L2602" t="n">
        <v>0</v>
      </c>
      <c r="M2602" t="n">
        <v>0</v>
      </c>
      <c r="N2602" t="n">
        <v>0</v>
      </c>
      <c r="O2602" t="n">
        <v>0</v>
      </c>
      <c r="P2602" t="n">
        <v>0</v>
      </c>
      <c r="Q2602" t="n">
        <v>0</v>
      </c>
      <c r="R2602" s="2" t="inlineStr"/>
    </row>
    <row r="2603" ht="15" customHeight="1">
      <c r="A2603" t="inlineStr">
        <is>
          <t>A 45653-2024</t>
        </is>
      </c>
      <c r="B2603" s="1" t="n">
        <v>45579.48872685185</v>
      </c>
      <c r="C2603" s="1" t="n">
        <v>45962</v>
      </c>
      <c r="D2603" t="inlineStr">
        <is>
          <t>SKÅNE LÄN</t>
        </is>
      </c>
      <c r="E2603" t="inlineStr">
        <is>
          <t>HÄSSLEHOLM</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40814-2023</t>
        </is>
      </c>
      <c r="B2604" s="1" t="n">
        <v>45171.54957175926</v>
      </c>
      <c r="C2604" s="1" t="n">
        <v>45962</v>
      </c>
      <c r="D2604" t="inlineStr">
        <is>
          <t>SKÅNE LÄN</t>
        </is>
      </c>
      <c r="E2604" t="inlineStr">
        <is>
          <t>ÖRKELLJUNGA</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62116-2022</t>
        </is>
      </c>
      <c r="B2605" s="1" t="n">
        <v>44921.5437037037</v>
      </c>
      <c r="C2605" s="1" t="n">
        <v>45962</v>
      </c>
      <c r="D2605" t="inlineStr">
        <is>
          <t>SKÅNE LÄN</t>
        </is>
      </c>
      <c r="E2605" t="inlineStr">
        <is>
          <t>OSBY</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37300-2023</t>
        </is>
      </c>
      <c r="B2606" s="1" t="n">
        <v>45156</v>
      </c>
      <c r="C2606" s="1" t="n">
        <v>45962</v>
      </c>
      <c r="D2606" t="inlineStr">
        <is>
          <t>SKÅNE LÄN</t>
        </is>
      </c>
      <c r="E2606" t="inlineStr">
        <is>
          <t>HÄSSLEHOLM</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38000-2024</t>
        </is>
      </c>
      <c r="B2607" s="1" t="n">
        <v>45544</v>
      </c>
      <c r="C2607" s="1" t="n">
        <v>45962</v>
      </c>
      <c r="D2607" t="inlineStr">
        <is>
          <t>SKÅNE LÄN</t>
        </is>
      </c>
      <c r="E2607" t="inlineStr">
        <is>
          <t>KRISTIANSTAD</t>
        </is>
      </c>
      <c r="G2607" t="n">
        <v>3.7</v>
      </c>
      <c r="H2607" t="n">
        <v>0</v>
      </c>
      <c r="I2607" t="n">
        <v>0</v>
      </c>
      <c r="J2607" t="n">
        <v>0</v>
      </c>
      <c r="K2607" t="n">
        <v>0</v>
      </c>
      <c r="L2607" t="n">
        <v>0</v>
      </c>
      <c r="M2607" t="n">
        <v>0</v>
      </c>
      <c r="N2607" t="n">
        <v>0</v>
      </c>
      <c r="O2607" t="n">
        <v>0</v>
      </c>
      <c r="P2607" t="n">
        <v>0</v>
      </c>
      <c r="Q2607" t="n">
        <v>0</v>
      </c>
      <c r="R2607" s="2" t="inlineStr"/>
    </row>
    <row r="2608" ht="15" customHeight="1">
      <c r="A2608" t="inlineStr">
        <is>
          <t>A 47696-2024</t>
        </is>
      </c>
      <c r="B2608" s="1" t="n">
        <v>45588.45855324074</v>
      </c>
      <c r="C2608" s="1" t="n">
        <v>45962</v>
      </c>
      <c r="D2608" t="inlineStr">
        <is>
          <t>SKÅNE LÄN</t>
        </is>
      </c>
      <c r="E2608" t="inlineStr">
        <is>
          <t>SVALÖV</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10673-2025</t>
        </is>
      </c>
      <c r="B2609" s="1" t="n">
        <v>45721.84422453704</v>
      </c>
      <c r="C2609" s="1" t="n">
        <v>45962</v>
      </c>
      <c r="D2609" t="inlineStr">
        <is>
          <t>SKÅNE LÄN</t>
        </is>
      </c>
      <c r="E2609" t="inlineStr">
        <is>
          <t>OSBY</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35644-2023</t>
        </is>
      </c>
      <c r="B2610" s="1" t="n">
        <v>45147</v>
      </c>
      <c r="C2610" s="1" t="n">
        <v>45962</v>
      </c>
      <c r="D2610" t="inlineStr">
        <is>
          <t>SKÅNE LÄN</t>
        </is>
      </c>
      <c r="E2610" t="inlineStr">
        <is>
          <t>HÄSSLEHOLM</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55748-2024</t>
        </is>
      </c>
      <c r="B2611" s="1" t="n">
        <v>45623.3237962963</v>
      </c>
      <c r="C2611" s="1" t="n">
        <v>45962</v>
      </c>
      <c r="D2611" t="inlineStr">
        <is>
          <t>SKÅNE LÄN</t>
        </is>
      </c>
      <c r="E2611" t="inlineStr">
        <is>
          <t>ÄNGELHOLM</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52176-2023</t>
        </is>
      </c>
      <c r="B2612" s="1" t="n">
        <v>45217</v>
      </c>
      <c r="C2612" s="1" t="n">
        <v>45962</v>
      </c>
      <c r="D2612" t="inlineStr">
        <is>
          <t>SKÅNE LÄN</t>
        </is>
      </c>
      <c r="E2612" t="inlineStr">
        <is>
          <t>KRISTIANSTAD</t>
        </is>
      </c>
      <c r="G2612" t="n">
        <v>4.4</v>
      </c>
      <c r="H2612" t="n">
        <v>0</v>
      </c>
      <c r="I2612" t="n">
        <v>0</v>
      </c>
      <c r="J2612" t="n">
        <v>0</v>
      </c>
      <c r="K2612" t="n">
        <v>0</v>
      </c>
      <c r="L2612" t="n">
        <v>0</v>
      </c>
      <c r="M2612" t="n">
        <v>0</v>
      </c>
      <c r="N2612" t="n">
        <v>0</v>
      </c>
      <c r="O2612" t="n">
        <v>0</v>
      </c>
      <c r="P2612" t="n">
        <v>0</v>
      </c>
      <c r="Q2612" t="n">
        <v>0</v>
      </c>
      <c r="R2612" s="2" t="inlineStr"/>
    </row>
    <row r="2613" ht="15" customHeight="1">
      <c r="A2613" t="inlineStr">
        <is>
          <t>A 32855-2023</t>
        </is>
      </c>
      <c r="B2613" s="1" t="n">
        <v>45124</v>
      </c>
      <c r="C2613" s="1" t="n">
        <v>45962</v>
      </c>
      <c r="D2613" t="inlineStr">
        <is>
          <t>SKÅNE LÄN</t>
        </is>
      </c>
      <c r="E2613" t="inlineStr">
        <is>
          <t>ÖRKELLJUNGA</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27486-2024</t>
        </is>
      </c>
      <c r="B2614" s="1" t="n">
        <v>45474.48015046296</v>
      </c>
      <c r="C2614" s="1" t="n">
        <v>45962</v>
      </c>
      <c r="D2614" t="inlineStr">
        <is>
          <t>SKÅNE LÄN</t>
        </is>
      </c>
      <c r="E2614" t="inlineStr">
        <is>
          <t>ÖRKELLJUNGA</t>
        </is>
      </c>
      <c r="G2614" t="n">
        <v>2.2</v>
      </c>
      <c r="H2614" t="n">
        <v>0</v>
      </c>
      <c r="I2614" t="n">
        <v>0</v>
      </c>
      <c r="J2614" t="n">
        <v>0</v>
      </c>
      <c r="K2614" t="n">
        <v>0</v>
      </c>
      <c r="L2614" t="n">
        <v>0</v>
      </c>
      <c r="M2614" t="n">
        <v>0</v>
      </c>
      <c r="N2614" t="n">
        <v>0</v>
      </c>
      <c r="O2614" t="n">
        <v>0</v>
      </c>
      <c r="P2614" t="n">
        <v>0</v>
      </c>
      <c r="Q2614" t="n">
        <v>0</v>
      </c>
      <c r="R2614" s="2" t="inlineStr"/>
    </row>
    <row r="2615" ht="15" customHeight="1">
      <c r="A2615" t="inlineStr">
        <is>
          <t>A 35024-2023</t>
        </is>
      </c>
      <c r="B2615" s="1" t="n">
        <v>45144.55350694444</v>
      </c>
      <c r="C2615" s="1" t="n">
        <v>45962</v>
      </c>
      <c r="D2615" t="inlineStr">
        <is>
          <t>SKÅNE LÄN</t>
        </is>
      </c>
      <c r="E2615" t="inlineStr">
        <is>
          <t>KRISTIANSTAD</t>
        </is>
      </c>
      <c r="F2615" t="inlineStr">
        <is>
          <t>Övriga Aktiebolag</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10230-2025</t>
        </is>
      </c>
      <c r="B2616" s="1" t="n">
        <v>45720</v>
      </c>
      <c r="C2616" s="1" t="n">
        <v>45962</v>
      </c>
      <c r="D2616" t="inlineStr">
        <is>
          <t>SKÅNE LÄN</t>
        </is>
      </c>
      <c r="E2616" t="inlineStr">
        <is>
          <t>HÄSSLEHOLM</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55140-2022</t>
        </is>
      </c>
      <c r="B2617" s="1" t="n">
        <v>44886</v>
      </c>
      <c r="C2617" s="1" t="n">
        <v>45962</v>
      </c>
      <c r="D2617" t="inlineStr">
        <is>
          <t>SKÅNE LÄN</t>
        </is>
      </c>
      <c r="E2617" t="inlineStr">
        <is>
          <t>ÖSTRA GÖINGE</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33266-2024</t>
        </is>
      </c>
      <c r="B2618" s="1" t="n">
        <v>45518</v>
      </c>
      <c r="C2618" s="1" t="n">
        <v>45962</v>
      </c>
      <c r="D2618" t="inlineStr">
        <is>
          <t>SKÅNE LÄN</t>
        </is>
      </c>
      <c r="E2618" t="inlineStr">
        <is>
          <t>HÄSSLEHOLM</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22391-2024</t>
        </is>
      </c>
      <c r="B2619" s="1" t="n">
        <v>45446</v>
      </c>
      <c r="C2619" s="1" t="n">
        <v>45962</v>
      </c>
      <c r="D2619" t="inlineStr">
        <is>
          <t>SKÅNE LÄN</t>
        </is>
      </c>
      <c r="E2619" t="inlineStr">
        <is>
          <t>ÖRKELLJUNGA</t>
        </is>
      </c>
      <c r="G2619" t="n">
        <v>3.3</v>
      </c>
      <c r="H2619" t="n">
        <v>0</v>
      </c>
      <c r="I2619" t="n">
        <v>0</v>
      </c>
      <c r="J2619" t="n">
        <v>0</v>
      </c>
      <c r="K2619" t="n">
        <v>0</v>
      </c>
      <c r="L2619" t="n">
        <v>0</v>
      </c>
      <c r="M2619" t="n">
        <v>0</v>
      </c>
      <c r="N2619" t="n">
        <v>0</v>
      </c>
      <c r="O2619" t="n">
        <v>0</v>
      </c>
      <c r="P2619" t="n">
        <v>0</v>
      </c>
      <c r="Q2619" t="n">
        <v>0</v>
      </c>
      <c r="R2619" s="2" t="inlineStr"/>
    </row>
    <row r="2620" ht="15" customHeight="1">
      <c r="A2620" t="inlineStr">
        <is>
          <t>A 47231-2024</t>
        </is>
      </c>
      <c r="B2620" s="1" t="n">
        <v>45586</v>
      </c>
      <c r="C2620" s="1" t="n">
        <v>45962</v>
      </c>
      <c r="D2620" t="inlineStr">
        <is>
          <t>SKÅNE LÄN</t>
        </is>
      </c>
      <c r="E2620" t="inlineStr">
        <is>
          <t>KRISTIANSTAD</t>
        </is>
      </c>
      <c r="F2620" t="inlineStr">
        <is>
          <t>Övriga Aktiebolag</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1492-2024</t>
        </is>
      </c>
      <c r="B2621" s="1" t="n">
        <v>45305.84925925926</v>
      </c>
      <c r="C2621" s="1" t="n">
        <v>45962</v>
      </c>
      <c r="D2621" t="inlineStr">
        <is>
          <t>SKÅNE LÄN</t>
        </is>
      </c>
      <c r="E2621" t="inlineStr">
        <is>
          <t>ÖRKELLJUNGA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1493-2024</t>
        </is>
      </c>
      <c r="B2622" s="1" t="n">
        <v>45305</v>
      </c>
      <c r="C2622" s="1" t="n">
        <v>45962</v>
      </c>
      <c r="D2622" t="inlineStr">
        <is>
          <t>SKÅNE LÄN</t>
        </is>
      </c>
      <c r="E2622" t="inlineStr">
        <is>
          <t>ÖRKELLJUNGA</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48797-2023</t>
        </is>
      </c>
      <c r="B2623" s="1" t="n">
        <v>45209.24986111111</v>
      </c>
      <c r="C2623" s="1" t="n">
        <v>45962</v>
      </c>
      <c r="D2623" t="inlineStr">
        <is>
          <t>SKÅNE LÄN</t>
        </is>
      </c>
      <c r="E2623" t="inlineStr">
        <is>
          <t>HÄSSLEHOLM</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755-2025</t>
        </is>
      </c>
      <c r="B2624" s="1" t="n">
        <v>45665.44717592592</v>
      </c>
      <c r="C2624" s="1" t="n">
        <v>45962</v>
      </c>
      <c r="D2624" t="inlineStr">
        <is>
          <t>SKÅNE LÄN</t>
        </is>
      </c>
      <c r="E2624" t="inlineStr">
        <is>
          <t>KRISTIANSTAD</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43338-2024</t>
        </is>
      </c>
      <c r="B2625" s="1" t="n">
        <v>45568.50387731481</v>
      </c>
      <c r="C2625" s="1" t="n">
        <v>45962</v>
      </c>
      <c r="D2625" t="inlineStr">
        <is>
          <t>SKÅNE LÄN</t>
        </is>
      </c>
      <c r="E2625" t="inlineStr">
        <is>
          <t>OSBY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16261-2023</t>
        </is>
      </c>
      <c r="B2626" s="1" t="n">
        <v>45022</v>
      </c>
      <c r="C2626" s="1" t="n">
        <v>45962</v>
      </c>
      <c r="D2626" t="inlineStr">
        <is>
          <t>SKÅNE LÄN</t>
        </is>
      </c>
      <c r="E2626" t="inlineStr">
        <is>
          <t>ÖSTRA GÖINGE</t>
        </is>
      </c>
      <c r="G2626" t="n">
        <v>3.7</v>
      </c>
      <c r="H2626" t="n">
        <v>0</v>
      </c>
      <c r="I2626" t="n">
        <v>0</v>
      </c>
      <c r="J2626" t="n">
        <v>0</v>
      </c>
      <c r="K2626" t="n">
        <v>0</v>
      </c>
      <c r="L2626" t="n">
        <v>0</v>
      </c>
      <c r="M2626" t="n">
        <v>0</v>
      </c>
      <c r="N2626" t="n">
        <v>0</v>
      </c>
      <c r="O2626" t="n">
        <v>0</v>
      </c>
      <c r="P2626" t="n">
        <v>0</v>
      </c>
      <c r="Q2626" t="n">
        <v>0</v>
      </c>
      <c r="R2626" s="2" t="inlineStr"/>
    </row>
    <row r="2627" ht="15" customHeight="1">
      <c r="A2627" t="inlineStr">
        <is>
          <t>A 22592-2025</t>
        </is>
      </c>
      <c r="B2627" s="1" t="n">
        <v>45789.40502314815</v>
      </c>
      <c r="C2627" s="1" t="n">
        <v>45962</v>
      </c>
      <c r="D2627" t="inlineStr">
        <is>
          <t>SKÅNE LÄN</t>
        </is>
      </c>
      <c r="E2627" t="inlineStr">
        <is>
          <t>HÄSSLEHOLM</t>
        </is>
      </c>
      <c r="G2627" t="n">
        <v>7.1</v>
      </c>
      <c r="H2627" t="n">
        <v>0</v>
      </c>
      <c r="I2627" t="n">
        <v>0</v>
      </c>
      <c r="J2627" t="n">
        <v>0</v>
      </c>
      <c r="K2627" t="n">
        <v>0</v>
      </c>
      <c r="L2627" t="n">
        <v>0</v>
      </c>
      <c r="M2627" t="n">
        <v>0</v>
      </c>
      <c r="N2627" t="n">
        <v>0</v>
      </c>
      <c r="O2627" t="n">
        <v>0</v>
      </c>
      <c r="P2627" t="n">
        <v>0</v>
      </c>
      <c r="Q2627" t="n">
        <v>0</v>
      </c>
      <c r="R2627" s="2" t="inlineStr"/>
    </row>
    <row r="2628" ht="15" customHeight="1">
      <c r="A2628" t="inlineStr">
        <is>
          <t>A 43401-2024</t>
        </is>
      </c>
      <c r="B2628" s="1" t="n">
        <v>45568</v>
      </c>
      <c r="C2628" s="1" t="n">
        <v>45962</v>
      </c>
      <c r="D2628" t="inlineStr">
        <is>
          <t>SKÅNE LÄN</t>
        </is>
      </c>
      <c r="E2628" t="inlineStr">
        <is>
          <t>ÖSTRA GÖINGE</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14702-2024</t>
        </is>
      </c>
      <c r="B2629" s="1" t="n">
        <v>45397.50576388889</v>
      </c>
      <c r="C2629" s="1" t="n">
        <v>45962</v>
      </c>
      <c r="D2629" t="inlineStr">
        <is>
          <t>SKÅNE LÄN</t>
        </is>
      </c>
      <c r="E2629" t="inlineStr">
        <is>
          <t>SIMRISHAMN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7306-2023</t>
        </is>
      </c>
      <c r="B2630" s="1" t="n">
        <v>44970</v>
      </c>
      <c r="C2630" s="1" t="n">
        <v>45962</v>
      </c>
      <c r="D2630" t="inlineStr">
        <is>
          <t>SKÅNE LÄN</t>
        </is>
      </c>
      <c r="E2630" t="inlineStr">
        <is>
          <t>HÖÖR</t>
        </is>
      </c>
      <c r="G2630" t="n">
        <v>3.2</v>
      </c>
      <c r="H2630" t="n">
        <v>0</v>
      </c>
      <c r="I2630" t="n">
        <v>0</v>
      </c>
      <c r="J2630" t="n">
        <v>0</v>
      </c>
      <c r="K2630" t="n">
        <v>0</v>
      </c>
      <c r="L2630" t="n">
        <v>0</v>
      </c>
      <c r="M2630" t="n">
        <v>0</v>
      </c>
      <c r="N2630" t="n">
        <v>0</v>
      </c>
      <c r="O2630" t="n">
        <v>0</v>
      </c>
      <c r="P2630" t="n">
        <v>0</v>
      </c>
      <c r="Q2630" t="n">
        <v>0</v>
      </c>
      <c r="R2630" s="2" t="inlineStr"/>
    </row>
    <row r="2631" ht="15" customHeight="1">
      <c r="A2631" t="inlineStr">
        <is>
          <t>A 9322-2025</t>
        </is>
      </c>
      <c r="B2631" s="1" t="n">
        <v>45714.72241898148</v>
      </c>
      <c r="C2631" s="1" t="n">
        <v>45962</v>
      </c>
      <c r="D2631" t="inlineStr">
        <is>
          <t>SKÅNE LÄN</t>
        </is>
      </c>
      <c r="E2631" t="inlineStr">
        <is>
          <t>HÄSSLEHOLM</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21910-2024</t>
        </is>
      </c>
      <c r="B2632" s="1" t="n">
        <v>45443.36605324074</v>
      </c>
      <c r="C2632" s="1" t="n">
        <v>45962</v>
      </c>
      <c r="D2632" t="inlineStr">
        <is>
          <t>SKÅNE LÄN</t>
        </is>
      </c>
      <c r="E2632" t="inlineStr">
        <is>
          <t>ÖRKELLJUNGA</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22262-2023</t>
        </is>
      </c>
      <c r="B2633" s="1" t="n">
        <v>45070</v>
      </c>
      <c r="C2633" s="1" t="n">
        <v>45962</v>
      </c>
      <c r="D2633" t="inlineStr">
        <is>
          <t>SKÅNE LÄN</t>
        </is>
      </c>
      <c r="E2633" t="inlineStr">
        <is>
          <t>SVALÖV</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20047-2024</t>
        </is>
      </c>
      <c r="B2634" s="1" t="n">
        <v>45434.37376157408</v>
      </c>
      <c r="C2634" s="1" t="n">
        <v>45962</v>
      </c>
      <c r="D2634" t="inlineStr">
        <is>
          <t>SKÅNE LÄN</t>
        </is>
      </c>
      <c r="E2634" t="inlineStr">
        <is>
          <t>SVALÖV</t>
        </is>
      </c>
      <c r="G2634" t="n">
        <v>2.3</v>
      </c>
      <c r="H2634" t="n">
        <v>0</v>
      </c>
      <c r="I2634" t="n">
        <v>0</v>
      </c>
      <c r="J2634" t="n">
        <v>0</v>
      </c>
      <c r="K2634" t="n">
        <v>0</v>
      </c>
      <c r="L2634" t="n">
        <v>0</v>
      </c>
      <c r="M2634" t="n">
        <v>0</v>
      </c>
      <c r="N2634" t="n">
        <v>0</v>
      </c>
      <c r="O2634" t="n">
        <v>0</v>
      </c>
      <c r="P2634" t="n">
        <v>0</v>
      </c>
      <c r="Q2634" t="n">
        <v>0</v>
      </c>
      <c r="R2634" s="2" t="inlineStr"/>
    </row>
    <row r="2635" ht="15" customHeight="1">
      <c r="A2635" t="inlineStr">
        <is>
          <t>A 35693-2024</t>
        </is>
      </c>
      <c r="B2635" s="1" t="n">
        <v>45532</v>
      </c>
      <c r="C2635" s="1" t="n">
        <v>45962</v>
      </c>
      <c r="D2635" t="inlineStr">
        <is>
          <t>SKÅNE LÄN</t>
        </is>
      </c>
      <c r="E2635" t="inlineStr">
        <is>
          <t>KRISTIANSTAD</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20510-2021</t>
        </is>
      </c>
      <c r="B2636" s="1" t="n">
        <v>44315</v>
      </c>
      <c r="C2636" s="1" t="n">
        <v>45962</v>
      </c>
      <c r="D2636" t="inlineStr">
        <is>
          <t>SKÅNE LÄN</t>
        </is>
      </c>
      <c r="E2636" t="inlineStr">
        <is>
          <t>HÄSSLEHOLM</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19910-2022</t>
        </is>
      </c>
      <c r="B2637" s="1" t="n">
        <v>44697</v>
      </c>
      <c r="C2637" s="1" t="n">
        <v>45962</v>
      </c>
      <c r="D2637" t="inlineStr">
        <is>
          <t>SKÅNE LÄN</t>
        </is>
      </c>
      <c r="E2637" t="inlineStr">
        <is>
          <t>KRISTIANSTAD</t>
        </is>
      </c>
      <c r="G2637" t="n">
        <v>5.9</v>
      </c>
      <c r="H2637" t="n">
        <v>0</v>
      </c>
      <c r="I2637" t="n">
        <v>0</v>
      </c>
      <c r="J2637" t="n">
        <v>0</v>
      </c>
      <c r="K2637" t="n">
        <v>0</v>
      </c>
      <c r="L2637" t="n">
        <v>0</v>
      </c>
      <c r="M2637" t="n">
        <v>0</v>
      </c>
      <c r="N2637" t="n">
        <v>0</v>
      </c>
      <c r="O2637" t="n">
        <v>0</v>
      </c>
      <c r="P2637" t="n">
        <v>0</v>
      </c>
      <c r="Q2637" t="n">
        <v>0</v>
      </c>
      <c r="R2637" s="2" t="inlineStr"/>
    </row>
    <row r="2638" ht="15" customHeight="1">
      <c r="A2638" t="inlineStr">
        <is>
          <t>A 60271-2024</t>
        </is>
      </c>
      <c r="B2638" s="1" t="n">
        <v>45642</v>
      </c>
      <c r="C2638" s="1" t="n">
        <v>45962</v>
      </c>
      <c r="D2638" t="inlineStr">
        <is>
          <t>SKÅNE LÄN</t>
        </is>
      </c>
      <c r="E2638" t="inlineStr">
        <is>
          <t>ÖRKELLJUNGA</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27514-2024</t>
        </is>
      </c>
      <c r="B2639" s="1" t="n">
        <v>45474</v>
      </c>
      <c r="C2639" s="1" t="n">
        <v>45962</v>
      </c>
      <c r="D2639" t="inlineStr">
        <is>
          <t>SKÅNE LÄN</t>
        </is>
      </c>
      <c r="E2639" t="inlineStr">
        <is>
          <t>OSBY</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34688-2024</t>
        </is>
      </c>
      <c r="B2640" s="1" t="n">
        <v>45526.54428240741</v>
      </c>
      <c r="C2640" s="1" t="n">
        <v>45962</v>
      </c>
      <c r="D2640" t="inlineStr">
        <is>
          <t>SKÅNE LÄN</t>
        </is>
      </c>
      <c r="E2640" t="inlineStr">
        <is>
          <t>KRISTIANSTAD</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10695-2023</t>
        </is>
      </c>
      <c r="B2641" s="1" t="n">
        <v>44988</v>
      </c>
      <c r="C2641" s="1" t="n">
        <v>45962</v>
      </c>
      <c r="D2641" t="inlineStr">
        <is>
          <t>SKÅNE LÄN</t>
        </is>
      </c>
      <c r="E2641" t="inlineStr">
        <is>
          <t>KLIPPAN</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52652-2023</t>
        </is>
      </c>
      <c r="B2642" s="1" t="n">
        <v>45225</v>
      </c>
      <c r="C2642" s="1" t="n">
        <v>45962</v>
      </c>
      <c r="D2642" t="inlineStr">
        <is>
          <t>SKÅNE LÄN</t>
        </is>
      </c>
      <c r="E2642" t="inlineStr">
        <is>
          <t>ESLÖV</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55961-2023</t>
        </is>
      </c>
      <c r="B2643" s="1" t="n">
        <v>45233</v>
      </c>
      <c r="C2643" s="1" t="n">
        <v>45962</v>
      </c>
      <c r="D2643" t="inlineStr">
        <is>
          <t>SKÅNE LÄN</t>
        </is>
      </c>
      <c r="E2643" t="inlineStr">
        <is>
          <t>KRISTIANSTAD</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36979-2024</t>
        </is>
      </c>
      <c r="B2644" s="1" t="n">
        <v>45539.27186342593</v>
      </c>
      <c r="C2644" s="1" t="n">
        <v>45962</v>
      </c>
      <c r="D2644" t="inlineStr">
        <is>
          <t>SKÅNE LÄN</t>
        </is>
      </c>
      <c r="E2644" t="inlineStr">
        <is>
          <t>OSBY</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3123-2023</t>
        </is>
      </c>
      <c r="B2645" s="1" t="n">
        <v>44946.4925</v>
      </c>
      <c r="C2645" s="1" t="n">
        <v>45962</v>
      </c>
      <c r="D2645" t="inlineStr">
        <is>
          <t>SKÅNE LÄN</t>
        </is>
      </c>
      <c r="E2645" t="inlineStr">
        <is>
          <t>HÄSSLEHOLM</t>
        </is>
      </c>
      <c r="G2645" t="n">
        <v>3.5</v>
      </c>
      <c r="H2645" t="n">
        <v>0</v>
      </c>
      <c r="I2645" t="n">
        <v>0</v>
      </c>
      <c r="J2645" t="n">
        <v>0</v>
      </c>
      <c r="K2645" t="n">
        <v>0</v>
      </c>
      <c r="L2645" t="n">
        <v>0</v>
      </c>
      <c r="M2645" t="n">
        <v>0</v>
      </c>
      <c r="N2645" t="n">
        <v>0</v>
      </c>
      <c r="O2645" t="n">
        <v>0</v>
      </c>
      <c r="P2645" t="n">
        <v>0</v>
      </c>
      <c r="Q2645" t="n">
        <v>0</v>
      </c>
      <c r="R2645" s="2" t="inlineStr"/>
    </row>
    <row r="2646" ht="15" customHeight="1">
      <c r="A2646" t="inlineStr">
        <is>
          <t>A 3126-2023</t>
        </is>
      </c>
      <c r="B2646" s="1" t="n">
        <v>44946.49570601852</v>
      </c>
      <c r="C2646" s="1" t="n">
        <v>45962</v>
      </c>
      <c r="D2646" t="inlineStr">
        <is>
          <t>SKÅNE LÄN</t>
        </is>
      </c>
      <c r="E2646" t="inlineStr">
        <is>
          <t>HÄSSLEHOLM</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60913-2023</t>
        </is>
      </c>
      <c r="B2647" s="1" t="n">
        <v>45261.39200231482</v>
      </c>
      <c r="C2647" s="1" t="n">
        <v>45962</v>
      </c>
      <c r="D2647" t="inlineStr">
        <is>
          <t>SKÅNE LÄN</t>
        </is>
      </c>
      <c r="E2647" t="inlineStr">
        <is>
          <t>HÖRBY</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65675-2021</t>
        </is>
      </c>
      <c r="B2648" s="1" t="n">
        <v>44516</v>
      </c>
      <c r="C2648" s="1" t="n">
        <v>45962</v>
      </c>
      <c r="D2648" t="inlineStr">
        <is>
          <t>SKÅNE LÄN</t>
        </is>
      </c>
      <c r="E2648" t="inlineStr">
        <is>
          <t>TRELLEBORG</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18888-2024</t>
        </is>
      </c>
      <c r="B2649" s="1" t="n">
        <v>45427</v>
      </c>
      <c r="C2649" s="1" t="n">
        <v>45962</v>
      </c>
      <c r="D2649" t="inlineStr">
        <is>
          <t>SKÅNE LÄN</t>
        </is>
      </c>
      <c r="E2649" t="inlineStr">
        <is>
          <t>SVEDALA</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12068-2023</t>
        </is>
      </c>
      <c r="B2650" s="1" t="n">
        <v>44997</v>
      </c>
      <c r="C2650" s="1" t="n">
        <v>45962</v>
      </c>
      <c r="D2650" t="inlineStr">
        <is>
          <t>SKÅNE LÄN</t>
        </is>
      </c>
      <c r="E2650" t="inlineStr">
        <is>
          <t>OSBY</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61024-2023</t>
        </is>
      </c>
      <c r="B2651" s="1" t="n">
        <v>45259</v>
      </c>
      <c r="C2651" s="1" t="n">
        <v>45962</v>
      </c>
      <c r="D2651" t="inlineStr">
        <is>
          <t>SKÅNE LÄN</t>
        </is>
      </c>
      <c r="E2651" t="inlineStr">
        <is>
          <t>OSBY</t>
        </is>
      </c>
      <c r="G2651" t="n">
        <v>6.8</v>
      </c>
      <c r="H2651" t="n">
        <v>0</v>
      </c>
      <c r="I2651" t="n">
        <v>0</v>
      </c>
      <c r="J2651" t="n">
        <v>0</v>
      </c>
      <c r="K2651" t="n">
        <v>0</v>
      </c>
      <c r="L2651" t="n">
        <v>0</v>
      </c>
      <c r="M2651" t="n">
        <v>0</v>
      </c>
      <c r="N2651" t="n">
        <v>0</v>
      </c>
      <c r="O2651" t="n">
        <v>0</v>
      </c>
      <c r="P2651" t="n">
        <v>0</v>
      </c>
      <c r="Q2651" t="n">
        <v>0</v>
      </c>
      <c r="R2651" s="2" t="inlineStr"/>
    </row>
    <row r="2652" ht="15" customHeight="1">
      <c r="A2652" t="inlineStr">
        <is>
          <t>A 50250-2024</t>
        </is>
      </c>
      <c r="B2652" s="1" t="n">
        <v>45600.57039351852</v>
      </c>
      <c r="C2652" s="1" t="n">
        <v>45962</v>
      </c>
      <c r="D2652" t="inlineStr">
        <is>
          <t>SKÅNE LÄN</t>
        </is>
      </c>
      <c r="E2652" t="inlineStr">
        <is>
          <t>HÖÖR</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18520-2021</t>
        </is>
      </c>
      <c r="B2653" s="1" t="n">
        <v>44305</v>
      </c>
      <c r="C2653" s="1" t="n">
        <v>45962</v>
      </c>
      <c r="D2653" t="inlineStr">
        <is>
          <t>SKÅNE LÄN</t>
        </is>
      </c>
      <c r="E2653" t="inlineStr">
        <is>
          <t>KLIPPAN</t>
        </is>
      </c>
      <c r="F2653" t="inlineStr">
        <is>
          <t>Övriga Aktiebolag</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9974-2024</t>
        </is>
      </c>
      <c r="B2654" s="1" t="n">
        <v>45363</v>
      </c>
      <c r="C2654" s="1" t="n">
        <v>45962</v>
      </c>
      <c r="D2654" t="inlineStr">
        <is>
          <t>SKÅNE LÄN</t>
        </is>
      </c>
      <c r="E2654" t="inlineStr">
        <is>
          <t>HÖRBY</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9466-2025</t>
        </is>
      </c>
      <c r="B2655" s="1" t="n">
        <v>45715.46888888889</v>
      </c>
      <c r="C2655" s="1" t="n">
        <v>45962</v>
      </c>
      <c r="D2655" t="inlineStr">
        <is>
          <t>SKÅNE LÄN</t>
        </is>
      </c>
      <c r="E2655" t="inlineStr">
        <is>
          <t>HÖÖR</t>
        </is>
      </c>
      <c r="G2655" t="n">
        <v>4.5</v>
      </c>
      <c r="H2655" t="n">
        <v>0</v>
      </c>
      <c r="I2655" t="n">
        <v>0</v>
      </c>
      <c r="J2655" t="n">
        <v>0</v>
      </c>
      <c r="K2655" t="n">
        <v>0</v>
      </c>
      <c r="L2655" t="n">
        <v>0</v>
      </c>
      <c r="M2655" t="n">
        <v>0</v>
      </c>
      <c r="N2655" t="n">
        <v>0</v>
      </c>
      <c r="O2655" t="n">
        <v>0</v>
      </c>
      <c r="P2655" t="n">
        <v>0</v>
      </c>
      <c r="Q2655" t="n">
        <v>0</v>
      </c>
      <c r="R2655" s="2" t="inlineStr"/>
    </row>
    <row r="2656" ht="15" customHeight="1">
      <c r="A2656" t="inlineStr">
        <is>
          <t>A 9987-2025</t>
        </is>
      </c>
      <c r="B2656" s="1" t="n">
        <v>45719.42331018519</v>
      </c>
      <c r="C2656" s="1" t="n">
        <v>45962</v>
      </c>
      <c r="D2656" t="inlineStr">
        <is>
          <t>SKÅNE LÄN</t>
        </is>
      </c>
      <c r="E2656" t="inlineStr">
        <is>
          <t>OSBY</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23007-2025</t>
        </is>
      </c>
      <c r="B2657" s="1" t="n">
        <v>45790</v>
      </c>
      <c r="C2657" s="1" t="n">
        <v>45962</v>
      </c>
      <c r="D2657" t="inlineStr">
        <is>
          <t>SKÅNE LÄN</t>
        </is>
      </c>
      <c r="E2657" t="inlineStr">
        <is>
          <t>HÄSSLEHOLM</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37318-2024</t>
        </is>
      </c>
      <c r="B2658" s="1" t="n">
        <v>45540</v>
      </c>
      <c r="C2658" s="1" t="n">
        <v>45962</v>
      </c>
      <c r="D2658" t="inlineStr">
        <is>
          <t>SKÅNE LÄN</t>
        </is>
      </c>
      <c r="E2658" t="inlineStr">
        <is>
          <t>HÄSSLEHOLM</t>
        </is>
      </c>
      <c r="G2658" t="n">
        <v>3.9</v>
      </c>
      <c r="H2658" t="n">
        <v>0</v>
      </c>
      <c r="I2658" t="n">
        <v>0</v>
      </c>
      <c r="J2658" t="n">
        <v>0</v>
      </c>
      <c r="K2658" t="n">
        <v>0</v>
      </c>
      <c r="L2658" t="n">
        <v>0</v>
      </c>
      <c r="M2658" t="n">
        <v>0</v>
      </c>
      <c r="N2658" t="n">
        <v>0</v>
      </c>
      <c r="O2658" t="n">
        <v>0</v>
      </c>
      <c r="P2658" t="n">
        <v>0</v>
      </c>
      <c r="Q2658" t="n">
        <v>0</v>
      </c>
      <c r="R2658" s="2" t="inlineStr"/>
    </row>
    <row r="2659" ht="15" customHeight="1">
      <c r="A2659" t="inlineStr">
        <is>
          <t>A 23052-2025</t>
        </is>
      </c>
      <c r="B2659" s="1" t="n">
        <v>45790.71023148148</v>
      </c>
      <c r="C2659" s="1" t="n">
        <v>45962</v>
      </c>
      <c r="D2659" t="inlineStr">
        <is>
          <t>SKÅNE LÄN</t>
        </is>
      </c>
      <c r="E2659" t="inlineStr">
        <is>
          <t>SIMRISHAMN</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37324-2024</t>
        </is>
      </c>
      <c r="B2660" s="1" t="n">
        <v>45540.50104166667</v>
      </c>
      <c r="C2660" s="1" t="n">
        <v>45962</v>
      </c>
      <c r="D2660" t="inlineStr">
        <is>
          <t>SKÅNE LÄN</t>
        </is>
      </c>
      <c r="E2660" t="inlineStr">
        <is>
          <t>HÄSSLEHOLM</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260-2024</t>
        </is>
      </c>
      <c r="B2661" s="1" t="n">
        <v>45294</v>
      </c>
      <c r="C2661" s="1" t="n">
        <v>45962</v>
      </c>
      <c r="D2661" t="inlineStr">
        <is>
          <t>SKÅNE LÄN</t>
        </is>
      </c>
      <c r="E2661" t="inlineStr">
        <is>
          <t>HÄSSLEHOLM</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44073-2024</t>
        </is>
      </c>
      <c r="B2662" s="1" t="n">
        <v>45572</v>
      </c>
      <c r="C2662" s="1" t="n">
        <v>45962</v>
      </c>
      <c r="D2662" t="inlineStr">
        <is>
          <t>SKÅNE LÄN</t>
        </is>
      </c>
      <c r="E2662" t="inlineStr">
        <is>
          <t>HÖRBY</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17171-2025</t>
        </is>
      </c>
      <c r="B2663" s="1" t="n">
        <v>45755</v>
      </c>
      <c r="C2663" s="1" t="n">
        <v>45962</v>
      </c>
      <c r="D2663" t="inlineStr">
        <is>
          <t>SKÅNE LÄN</t>
        </is>
      </c>
      <c r="E2663" t="inlineStr">
        <is>
          <t>HÄSSLEHOLM</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34808-2024</t>
        </is>
      </c>
      <c r="B2664" s="1" t="n">
        <v>45526.69388888889</v>
      </c>
      <c r="C2664" s="1" t="n">
        <v>45962</v>
      </c>
      <c r="D2664" t="inlineStr">
        <is>
          <t>SKÅNE LÄN</t>
        </is>
      </c>
      <c r="E2664" t="inlineStr">
        <is>
          <t>SVALÖV</t>
        </is>
      </c>
      <c r="G2664" t="n">
        <v>3.6</v>
      </c>
      <c r="H2664" t="n">
        <v>0</v>
      </c>
      <c r="I2664" t="n">
        <v>0</v>
      </c>
      <c r="J2664" t="n">
        <v>0</v>
      </c>
      <c r="K2664" t="n">
        <v>0</v>
      </c>
      <c r="L2664" t="n">
        <v>0</v>
      </c>
      <c r="M2664" t="n">
        <v>0</v>
      </c>
      <c r="N2664" t="n">
        <v>0</v>
      </c>
      <c r="O2664" t="n">
        <v>0</v>
      </c>
      <c r="P2664" t="n">
        <v>0</v>
      </c>
      <c r="Q2664" t="n">
        <v>0</v>
      </c>
      <c r="R2664" s="2" t="inlineStr"/>
    </row>
    <row r="2665" ht="15" customHeight="1">
      <c r="A2665" t="inlineStr">
        <is>
          <t>A 16930-2024</t>
        </is>
      </c>
      <c r="B2665" s="1" t="n">
        <v>45411</v>
      </c>
      <c r="C2665" s="1" t="n">
        <v>45962</v>
      </c>
      <c r="D2665" t="inlineStr">
        <is>
          <t>SKÅNE LÄN</t>
        </is>
      </c>
      <c r="E2665" t="inlineStr">
        <is>
          <t>HÄSSLEHOLM</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27825-2024</t>
        </is>
      </c>
      <c r="B2666" s="1" t="n">
        <v>45475</v>
      </c>
      <c r="C2666" s="1" t="n">
        <v>45962</v>
      </c>
      <c r="D2666" t="inlineStr">
        <is>
          <t>SKÅNE LÄN</t>
        </is>
      </c>
      <c r="E2666" t="inlineStr">
        <is>
          <t>HÄSSLEHOLM</t>
        </is>
      </c>
      <c r="F2666" t="inlineStr">
        <is>
          <t>Kommuner</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38998-2024</t>
        </is>
      </c>
      <c r="B2667" s="1" t="n">
        <v>45548.41568287037</v>
      </c>
      <c r="C2667" s="1" t="n">
        <v>45962</v>
      </c>
      <c r="D2667" t="inlineStr">
        <is>
          <t>SKÅNE LÄN</t>
        </is>
      </c>
      <c r="E2667" t="inlineStr">
        <is>
          <t>OSBY</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27521-2021</t>
        </is>
      </c>
      <c r="B2668" s="1" t="n">
        <v>44351</v>
      </c>
      <c r="C2668" s="1" t="n">
        <v>45962</v>
      </c>
      <c r="D2668" t="inlineStr">
        <is>
          <t>SKÅNE LÄN</t>
        </is>
      </c>
      <c r="E2668" t="inlineStr">
        <is>
          <t>ÖRKELLJUNGA</t>
        </is>
      </c>
      <c r="G2668" t="n">
        <v>10.3</v>
      </c>
      <c r="H2668" t="n">
        <v>0</v>
      </c>
      <c r="I2668" t="n">
        <v>0</v>
      </c>
      <c r="J2668" t="n">
        <v>0</v>
      </c>
      <c r="K2668" t="n">
        <v>0</v>
      </c>
      <c r="L2668" t="n">
        <v>0</v>
      </c>
      <c r="M2668" t="n">
        <v>0</v>
      </c>
      <c r="N2668" t="n">
        <v>0</v>
      </c>
      <c r="O2668" t="n">
        <v>0</v>
      </c>
      <c r="P2668" t="n">
        <v>0</v>
      </c>
      <c r="Q2668" t="n">
        <v>0</v>
      </c>
      <c r="R2668" s="2" t="inlineStr"/>
    </row>
    <row r="2669" ht="15" customHeight="1">
      <c r="A2669" t="inlineStr">
        <is>
          <t>A 11517-2024</t>
        </is>
      </c>
      <c r="B2669" s="1" t="n">
        <v>45372</v>
      </c>
      <c r="C2669" s="1" t="n">
        <v>45962</v>
      </c>
      <c r="D2669" t="inlineStr">
        <is>
          <t>SKÅNE LÄN</t>
        </is>
      </c>
      <c r="E2669" t="inlineStr">
        <is>
          <t>BÅSTAD</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57656-2022</t>
        </is>
      </c>
      <c r="B2670" s="1" t="n">
        <v>44897.4325925926</v>
      </c>
      <c r="C2670" s="1" t="n">
        <v>45962</v>
      </c>
      <c r="D2670" t="inlineStr">
        <is>
          <t>SKÅNE LÄN</t>
        </is>
      </c>
      <c r="E2670" t="inlineStr">
        <is>
          <t>HÄSSLEHOLM</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57703-2022</t>
        </is>
      </c>
      <c r="B2671" s="1" t="n">
        <v>44897</v>
      </c>
      <c r="C2671" s="1" t="n">
        <v>45962</v>
      </c>
      <c r="D2671" t="inlineStr">
        <is>
          <t>SKÅNE LÄN</t>
        </is>
      </c>
      <c r="E2671" t="inlineStr">
        <is>
          <t>ÖRKELLJUNGA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32881-2024</t>
        </is>
      </c>
      <c r="B2672" s="1" t="n">
        <v>45516</v>
      </c>
      <c r="C2672" s="1" t="n">
        <v>45962</v>
      </c>
      <c r="D2672" t="inlineStr">
        <is>
          <t>SKÅNE LÄN</t>
        </is>
      </c>
      <c r="E2672" t="inlineStr">
        <is>
          <t>HÄSSLEHOLM</t>
        </is>
      </c>
      <c r="G2672" t="n">
        <v>6.3</v>
      </c>
      <c r="H2672" t="n">
        <v>0</v>
      </c>
      <c r="I2672" t="n">
        <v>0</v>
      </c>
      <c r="J2672" t="n">
        <v>0</v>
      </c>
      <c r="K2672" t="n">
        <v>0</v>
      </c>
      <c r="L2672" t="n">
        <v>0</v>
      </c>
      <c r="M2672" t="n">
        <v>0</v>
      </c>
      <c r="N2672" t="n">
        <v>0</v>
      </c>
      <c r="O2672" t="n">
        <v>0</v>
      </c>
      <c r="P2672" t="n">
        <v>0</v>
      </c>
      <c r="Q2672" t="n">
        <v>0</v>
      </c>
      <c r="R2672" s="2" t="inlineStr"/>
    </row>
    <row r="2673" ht="15" customHeight="1">
      <c r="A2673" t="inlineStr">
        <is>
          <t>A 18345-2022</t>
        </is>
      </c>
      <c r="B2673" s="1" t="n">
        <v>44685</v>
      </c>
      <c r="C2673" s="1" t="n">
        <v>45962</v>
      </c>
      <c r="D2673" t="inlineStr">
        <is>
          <t>SKÅNE LÄN</t>
        </is>
      </c>
      <c r="E2673" t="inlineStr">
        <is>
          <t>HÖÖR</t>
        </is>
      </c>
      <c r="F2673" t="inlineStr">
        <is>
          <t>Sveaskog</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3846-2025</t>
        </is>
      </c>
      <c r="B2674" s="1" t="n">
        <v>45683.73450231482</v>
      </c>
      <c r="C2674" s="1" t="n">
        <v>45962</v>
      </c>
      <c r="D2674" t="inlineStr">
        <is>
          <t>SKÅNE LÄN</t>
        </is>
      </c>
      <c r="E2674" t="inlineStr">
        <is>
          <t>OSBY</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61605-2023</t>
        </is>
      </c>
      <c r="B2675" s="1" t="n">
        <v>45265</v>
      </c>
      <c r="C2675" s="1" t="n">
        <v>45962</v>
      </c>
      <c r="D2675" t="inlineStr">
        <is>
          <t>SKÅNE LÄN</t>
        </is>
      </c>
      <c r="E2675" t="inlineStr">
        <is>
          <t>KRISTIANSTAD</t>
        </is>
      </c>
      <c r="G2675" t="n">
        <v>6.3</v>
      </c>
      <c r="H2675" t="n">
        <v>0</v>
      </c>
      <c r="I2675" t="n">
        <v>0</v>
      </c>
      <c r="J2675" t="n">
        <v>0</v>
      </c>
      <c r="K2675" t="n">
        <v>0</v>
      </c>
      <c r="L2675" t="n">
        <v>0</v>
      </c>
      <c r="M2675" t="n">
        <v>0</v>
      </c>
      <c r="N2675" t="n">
        <v>0</v>
      </c>
      <c r="O2675" t="n">
        <v>0</v>
      </c>
      <c r="P2675" t="n">
        <v>0</v>
      </c>
      <c r="Q2675" t="n">
        <v>0</v>
      </c>
      <c r="R2675" s="2" t="inlineStr"/>
    </row>
    <row r="2676" ht="15" customHeight="1">
      <c r="A2676" t="inlineStr">
        <is>
          <t>A 28496-2023</t>
        </is>
      </c>
      <c r="B2676" s="1" t="n">
        <v>45103.45262731481</v>
      </c>
      <c r="C2676" s="1" t="n">
        <v>45962</v>
      </c>
      <c r="D2676" t="inlineStr">
        <is>
          <t>SKÅNE LÄN</t>
        </is>
      </c>
      <c r="E2676" t="inlineStr">
        <is>
          <t>ÄNGELHOLM</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61211-2020</t>
        </is>
      </c>
      <c r="B2677" s="1" t="n">
        <v>44155</v>
      </c>
      <c r="C2677" s="1" t="n">
        <v>45962</v>
      </c>
      <c r="D2677" t="inlineStr">
        <is>
          <t>SKÅNE LÄN</t>
        </is>
      </c>
      <c r="E2677" t="inlineStr">
        <is>
          <t>ÖRKELLJUNGA</t>
        </is>
      </c>
      <c r="F2677" t="inlineStr">
        <is>
          <t>Kyrkan</t>
        </is>
      </c>
      <c r="G2677" t="n">
        <v>9.5</v>
      </c>
      <c r="H2677" t="n">
        <v>0</v>
      </c>
      <c r="I2677" t="n">
        <v>0</v>
      </c>
      <c r="J2677" t="n">
        <v>0</v>
      </c>
      <c r="K2677" t="n">
        <v>0</v>
      </c>
      <c r="L2677" t="n">
        <v>0</v>
      </c>
      <c r="M2677" t="n">
        <v>0</v>
      </c>
      <c r="N2677" t="n">
        <v>0</v>
      </c>
      <c r="O2677" t="n">
        <v>0</v>
      </c>
      <c r="P2677" t="n">
        <v>0</v>
      </c>
      <c r="Q2677" t="n">
        <v>0</v>
      </c>
      <c r="R2677" s="2" t="inlineStr"/>
    </row>
    <row r="2678" ht="15" customHeight="1">
      <c r="A2678" t="inlineStr">
        <is>
          <t>A 23860-2024</t>
        </is>
      </c>
      <c r="B2678" s="1" t="n">
        <v>45455</v>
      </c>
      <c r="C2678" s="1" t="n">
        <v>45962</v>
      </c>
      <c r="D2678" t="inlineStr">
        <is>
          <t>SKÅNE LÄN</t>
        </is>
      </c>
      <c r="E2678" t="inlineStr">
        <is>
          <t>HÄSSLEHOLM</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23864-2024</t>
        </is>
      </c>
      <c r="B2679" s="1" t="n">
        <v>45455</v>
      </c>
      <c r="C2679" s="1" t="n">
        <v>45962</v>
      </c>
      <c r="D2679" t="inlineStr">
        <is>
          <t>SKÅNE LÄN</t>
        </is>
      </c>
      <c r="E2679" t="inlineStr">
        <is>
          <t>HÄSSLEHOLM</t>
        </is>
      </c>
      <c r="G2679" t="n">
        <v>6.2</v>
      </c>
      <c r="H2679" t="n">
        <v>0</v>
      </c>
      <c r="I2679" t="n">
        <v>0</v>
      </c>
      <c r="J2679" t="n">
        <v>0</v>
      </c>
      <c r="K2679" t="n">
        <v>0</v>
      </c>
      <c r="L2679" t="n">
        <v>0</v>
      </c>
      <c r="M2679" t="n">
        <v>0</v>
      </c>
      <c r="N2679" t="n">
        <v>0</v>
      </c>
      <c r="O2679" t="n">
        <v>0</v>
      </c>
      <c r="P2679" t="n">
        <v>0</v>
      </c>
      <c r="Q2679" t="n">
        <v>0</v>
      </c>
      <c r="R2679" s="2" t="inlineStr"/>
    </row>
    <row r="2680" ht="15" customHeight="1">
      <c r="A2680" t="inlineStr">
        <is>
          <t>A 40780-2022</t>
        </is>
      </c>
      <c r="B2680" s="1" t="n">
        <v>44820</v>
      </c>
      <c r="C2680" s="1" t="n">
        <v>45962</v>
      </c>
      <c r="D2680" t="inlineStr">
        <is>
          <t>SKÅNE LÄN</t>
        </is>
      </c>
      <c r="E2680" t="inlineStr">
        <is>
          <t>HÄSSLEHOLM</t>
        </is>
      </c>
      <c r="G2680" t="n">
        <v>7.4</v>
      </c>
      <c r="H2680" t="n">
        <v>0</v>
      </c>
      <c r="I2680" t="n">
        <v>0</v>
      </c>
      <c r="J2680" t="n">
        <v>0</v>
      </c>
      <c r="K2680" t="n">
        <v>0</v>
      </c>
      <c r="L2680" t="n">
        <v>0</v>
      </c>
      <c r="M2680" t="n">
        <v>0</v>
      </c>
      <c r="N2680" t="n">
        <v>0</v>
      </c>
      <c r="O2680" t="n">
        <v>0</v>
      </c>
      <c r="P2680" t="n">
        <v>0</v>
      </c>
      <c r="Q2680" t="n">
        <v>0</v>
      </c>
      <c r="R2680" s="2" t="inlineStr"/>
    </row>
    <row r="2681" ht="15" customHeight="1">
      <c r="A2681" t="inlineStr">
        <is>
          <t>A 41548-2022</t>
        </is>
      </c>
      <c r="B2681" s="1" t="n">
        <v>44826</v>
      </c>
      <c r="C2681" s="1" t="n">
        <v>45962</v>
      </c>
      <c r="D2681" t="inlineStr">
        <is>
          <t>SKÅNE LÄN</t>
        </is>
      </c>
      <c r="E2681" t="inlineStr">
        <is>
          <t>ÖSTRA GÖINGE</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31254-2024</t>
        </is>
      </c>
      <c r="B2682" s="1" t="n">
        <v>45503</v>
      </c>
      <c r="C2682" s="1" t="n">
        <v>45962</v>
      </c>
      <c r="D2682" t="inlineStr">
        <is>
          <t>SKÅNE LÄN</t>
        </is>
      </c>
      <c r="E2682" t="inlineStr">
        <is>
          <t>HÄSSLEHOLM</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3361-2022</t>
        </is>
      </c>
      <c r="B2683" s="1" t="n">
        <v>44585.40355324074</v>
      </c>
      <c r="C2683" s="1" t="n">
        <v>45962</v>
      </c>
      <c r="D2683" t="inlineStr">
        <is>
          <t>SKÅNE LÄN</t>
        </is>
      </c>
      <c r="E2683" t="inlineStr">
        <is>
          <t>OSBY</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18713-2024</t>
        </is>
      </c>
      <c r="B2684" s="1" t="n">
        <v>45426</v>
      </c>
      <c r="C2684" s="1" t="n">
        <v>45962</v>
      </c>
      <c r="D2684" t="inlineStr">
        <is>
          <t>SKÅNE LÄN</t>
        </is>
      </c>
      <c r="E2684" t="inlineStr">
        <is>
          <t>ESLÖV</t>
        </is>
      </c>
      <c r="G2684" t="n">
        <v>4.1</v>
      </c>
      <c r="H2684" t="n">
        <v>0</v>
      </c>
      <c r="I2684" t="n">
        <v>0</v>
      </c>
      <c r="J2684" t="n">
        <v>0</v>
      </c>
      <c r="K2684" t="n">
        <v>0</v>
      </c>
      <c r="L2684" t="n">
        <v>0</v>
      </c>
      <c r="M2684" t="n">
        <v>0</v>
      </c>
      <c r="N2684" t="n">
        <v>0</v>
      </c>
      <c r="O2684" t="n">
        <v>0</v>
      </c>
      <c r="P2684" t="n">
        <v>0</v>
      </c>
      <c r="Q2684" t="n">
        <v>0</v>
      </c>
      <c r="R2684" s="2" t="inlineStr"/>
    </row>
    <row r="2685" ht="15" customHeight="1">
      <c r="A2685" t="inlineStr">
        <is>
          <t>A 55613-2022</t>
        </is>
      </c>
      <c r="B2685" s="1" t="n">
        <v>44883</v>
      </c>
      <c r="C2685" s="1" t="n">
        <v>45962</v>
      </c>
      <c r="D2685" t="inlineStr">
        <is>
          <t>SKÅNE LÄN</t>
        </is>
      </c>
      <c r="E2685" t="inlineStr">
        <is>
          <t>KLIPPAN</t>
        </is>
      </c>
      <c r="F2685" t="inlineStr">
        <is>
          <t>Övriga Aktiebolag</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6521-2025</t>
        </is>
      </c>
      <c r="B2686" s="1" t="n">
        <v>45699</v>
      </c>
      <c r="C2686" s="1" t="n">
        <v>45962</v>
      </c>
      <c r="D2686" t="inlineStr">
        <is>
          <t>SKÅNE LÄN</t>
        </is>
      </c>
      <c r="E2686" t="inlineStr">
        <is>
          <t>ÖSTRA GÖINGE</t>
        </is>
      </c>
      <c r="G2686" t="n">
        <v>2.8</v>
      </c>
      <c r="H2686" t="n">
        <v>0</v>
      </c>
      <c r="I2686" t="n">
        <v>0</v>
      </c>
      <c r="J2686" t="n">
        <v>0</v>
      </c>
      <c r="K2686" t="n">
        <v>0</v>
      </c>
      <c r="L2686" t="n">
        <v>0</v>
      </c>
      <c r="M2686" t="n">
        <v>0</v>
      </c>
      <c r="N2686" t="n">
        <v>0</v>
      </c>
      <c r="O2686" t="n">
        <v>0</v>
      </c>
      <c r="P2686" t="n">
        <v>0</v>
      </c>
      <c r="Q2686" t="n">
        <v>0</v>
      </c>
      <c r="R2686" s="2" t="inlineStr"/>
    </row>
    <row r="2687" ht="15" customHeight="1">
      <c r="A2687" t="inlineStr">
        <is>
          <t>A 16733-2023</t>
        </is>
      </c>
      <c r="B2687" s="1" t="n">
        <v>45030</v>
      </c>
      <c r="C2687" s="1" t="n">
        <v>45962</v>
      </c>
      <c r="D2687" t="inlineStr">
        <is>
          <t>SKÅNE LÄN</t>
        </is>
      </c>
      <c r="E2687" t="inlineStr">
        <is>
          <t>ESLÖV</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37486-2024</t>
        </is>
      </c>
      <c r="B2688" s="1" t="n">
        <v>45541</v>
      </c>
      <c r="C2688" s="1" t="n">
        <v>45962</v>
      </c>
      <c r="D2688" t="inlineStr">
        <is>
          <t>SKÅNE LÄN</t>
        </is>
      </c>
      <c r="E2688" t="inlineStr">
        <is>
          <t>HÄSSLEHOLM</t>
        </is>
      </c>
      <c r="G2688" t="n">
        <v>8.5</v>
      </c>
      <c r="H2688" t="n">
        <v>0</v>
      </c>
      <c r="I2688" t="n">
        <v>0</v>
      </c>
      <c r="J2688" t="n">
        <v>0</v>
      </c>
      <c r="K2688" t="n">
        <v>0</v>
      </c>
      <c r="L2688" t="n">
        <v>0</v>
      </c>
      <c r="M2688" t="n">
        <v>0</v>
      </c>
      <c r="N2688" t="n">
        <v>0</v>
      </c>
      <c r="O2688" t="n">
        <v>0</v>
      </c>
      <c r="P2688" t="n">
        <v>0</v>
      </c>
      <c r="Q2688" t="n">
        <v>0</v>
      </c>
      <c r="R2688" s="2" t="inlineStr"/>
    </row>
    <row r="2689" ht="15" customHeight="1">
      <c r="A2689" t="inlineStr">
        <is>
          <t>A 11753-2025</t>
        </is>
      </c>
      <c r="B2689" s="1" t="n">
        <v>45727</v>
      </c>
      <c r="C2689" s="1" t="n">
        <v>45962</v>
      </c>
      <c r="D2689" t="inlineStr">
        <is>
          <t>SKÅNE LÄN</t>
        </is>
      </c>
      <c r="E2689" t="inlineStr">
        <is>
          <t>HÄSSLEHOLM</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44838-2023</t>
        </is>
      </c>
      <c r="B2690" s="1" t="n">
        <v>45190</v>
      </c>
      <c r="C2690" s="1" t="n">
        <v>45962</v>
      </c>
      <c r="D2690" t="inlineStr">
        <is>
          <t>SKÅNE LÄN</t>
        </is>
      </c>
      <c r="E2690" t="inlineStr">
        <is>
          <t>HÄSSLEHOLM</t>
        </is>
      </c>
      <c r="F2690" t="inlineStr">
        <is>
          <t>Kommuner</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7192-2025</t>
        </is>
      </c>
      <c r="B2691" s="1" t="n">
        <v>45702.44746527778</v>
      </c>
      <c r="C2691" s="1" t="n">
        <v>45962</v>
      </c>
      <c r="D2691" t="inlineStr">
        <is>
          <t>SKÅNE LÄN</t>
        </is>
      </c>
      <c r="E2691" t="inlineStr">
        <is>
          <t>HÄSSLEHOLM</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6335-2022</t>
        </is>
      </c>
      <c r="B2692" s="1" t="n">
        <v>44600</v>
      </c>
      <c r="C2692" s="1" t="n">
        <v>45962</v>
      </c>
      <c r="D2692" t="inlineStr">
        <is>
          <t>SKÅNE LÄN</t>
        </is>
      </c>
      <c r="E2692" t="inlineStr">
        <is>
          <t>SVALÖV</t>
        </is>
      </c>
      <c r="G2692" t="n">
        <v>4</v>
      </c>
      <c r="H2692" t="n">
        <v>0</v>
      </c>
      <c r="I2692" t="n">
        <v>0</v>
      </c>
      <c r="J2692" t="n">
        <v>0</v>
      </c>
      <c r="K2692" t="n">
        <v>0</v>
      </c>
      <c r="L2692" t="n">
        <v>0</v>
      </c>
      <c r="M2692" t="n">
        <v>0</v>
      </c>
      <c r="N2692" t="n">
        <v>0</v>
      </c>
      <c r="O2692" t="n">
        <v>0</v>
      </c>
      <c r="P2692" t="n">
        <v>0</v>
      </c>
      <c r="Q2692" t="n">
        <v>0</v>
      </c>
      <c r="R2692" s="2" t="inlineStr"/>
    </row>
    <row r="2693" ht="15" customHeight="1">
      <c r="A2693" t="inlineStr">
        <is>
          <t>A 47656-2023</t>
        </is>
      </c>
      <c r="B2693" s="1" t="n">
        <v>45203</v>
      </c>
      <c r="C2693" s="1" t="n">
        <v>45962</v>
      </c>
      <c r="D2693" t="inlineStr">
        <is>
          <t>SKÅNE LÄN</t>
        </is>
      </c>
      <c r="E2693" t="inlineStr">
        <is>
          <t>SJÖBO</t>
        </is>
      </c>
      <c r="G2693" t="n">
        <v>0.8</v>
      </c>
      <c r="H2693" t="n">
        <v>0</v>
      </c>
      <c r="I2693" t="n">
        <v>0</v>
      </c>
      <c r="J2693" t="n">
        <v>0</v>
      </c>
      <c r="K2693" t="n">
        <v>0</v>
      </c>
      <c r="L2693" t="n">
        <v>0</v>
      </c>
      <c r="M2693" t="n">
        <v>0</v>
      </c>
      <c r="N2693" t="n">
        <v>0</v>
      </c>
      <c r="O2693" t="n">
        <v>0</v>
      </c>
      <c r="P2693" t="n">
        <v>0</v>
      </c>
      <c r="Q2693" t="n">
        <v>0</v>
      </c>
      <c r="R2693" s="2" t="inlineStr"/>
    </row>
    <row r="2694" ht="15" customHeight="1">
      <c r="A2694" t="inlineStr">
        <is>
          <t>A 13954-2023</t>
        </is>
      </c>
      <c r="B2694" s="1" t="n">
        <v>45008</v>
      </c>
      <c r="C2694" s="1" t="n">
        <v>45962</v>
      </c>
      <c r="D2694" t="inlineStr">
        <is>
          <t>SKÅNE LÄN</t>
        </is>
      </c>
      <c r="E2694" t="inlineStr">
        <is>
          <t>HÄSSLEHOLM</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25385-2023</t>
        </is>
      </c>
      <c r="B2695" s="1" t="n">
        <v>45089.33711805556</v>
      </c>
      <c r="C2695" s="1" t="n">
        <v>45962</v>
      </c>
      <c r="D2695" t="inlineStr">
        <is>
          <t>SKÅNE LÄN</t>
        </is>
      </c>
      <c r="E2695" t="inlineStr">
        <is>
          <t>ESLÖV</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48197-2024</t>
        </is>
      </c>
      <c r="B2696" s="1" t="n">
        <v>45590</v>
      </c>
      <c r="C2696" s="1" t="n">
        <v>45962</v>
      </c>
      <c r="D2696" t="inlineStr">
        <is>
          <t>SKÅNE LÄN</t>
        </is>
      </c>
      <c r="E2696" t="inlineStr">
        <is>
          <t>ÄNGELHOLM</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26058-2024</t>
        </is>
      </c>
      <c r="B2697" s="1" t="n">
        <v>45468</v>
      </c>
      <c r="C2697" s="1" t="n">
        <v>45962</v>
      </c>
      <c r="D2697" t="inlineStr">
        <is>
          <t>SKÅNE LÄN</t>
        </is>
      </c>
      <c r="E2697" t="inlineStr">
        <is>
          <t>ÖRKELLJUNGA</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11773-2022</t>
        </is>
      </c>
      <c r="B2698" s="1" t="n">
        <v>44634.59633101852</v>
      </c>
      <c r="C2698" s="1" t="n">
        <v>45962</v>
      </c>
      <c r="D2698" t="inlineStr">
        <is>
          <t>SKÅNE LÄN</t>
        </is>
      </c>
      <c r="E2698" t="inlineStr">
        <is>
          <t>ÄNGELHOLM</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64826-2021</t>
        </is>
      </c>
      <c r="B2699" s="1" t="n">
        <v>44512.55935185185</v>
      </c>
      <c r="C2699" s="1" t="n">
        <v>45962</v>
      </c>
      <c r="D2699" t="inlineStr">
        <is>
          <t>SKÅNE LÄN</t>
        </is>
      </c>
      <c r="E2699" t="inlineStr">
        <is>
          <t>HÄSSLEHOLM</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36211-2024</t>
        </is>
      </c>
      <c r="B2700" s="1" t="n">
        <v>45534</v>
      </c>
      <c r="C2700" s="1" t="n">
        <v>45962</v>
      </c>
      <c r="D2700" t="inlineStr">
        <is>
          <t>SKÅNE LÄN</t>
        </is>
      </c>
      <c r="E2700" t="inlineStr">
        <is>
          <t>HÖÖR</t>
        </is>
      </c>
      <c r="G2700" t="n">
        <v>7.6</v>
      </c>
      <c r="H2700" t="n">
        <v>0</v>
      </c>
      <c r="I2700" t="n">
        <v>0</v>
      </c>
      <c r="J2700" t="n">
        <v>0</v>
      </c>
      <c r="K2700" t="n">
        <v>0</v>
      </c>
      <c r="L2700" t="n">
        <v>0</v>
      </c>
      <c r="M2700" t="n">
        <v>0</v>
      </c>
      <c r="N2700" t="n">
        <v>0</v>
      </c>
      <c r="O2700" t="n">
        <v>0</v>
      </c>
      <c r="P2700" t="n">
        <v>0</v>
      </c>
      <c r="Q2700" t="n">
        <v>0</v>
      </c>
      <c r="R2700" s="2" t="inlineStr"/>
    </row>
    <row r="2701" ht="15" customHeight="1">
      <c r="A2701" t="inlineStr">
        <is>
          <t>A 1299-2024</t>
        </is>
      </c>
      <c r="B2701" s="1" t="n">
        <v>45303</v>
      </c>
      <c r="C2701" s="1" t="n">
        <v>45962</v>
      </c>
      <c r="D2701" t="inlineStr">
        <is>
          <t>SKÅNE LÄN</t>
        </is>
      </c>
      <c r="E2701" t="inlineStr">
        <is>
          <t>ÄNGELHOLM</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19435-2024</t>
        </is>
      </c>
      <c r="B2702" s="1" t="n">
        <v>45429</v>
      </c>
      <c r="C2702" s="1" t="n">
        <v>45962</v>
      </c>
      <c r="D2702" t="inlineStr">
        <is>
          <t>SKÅNE LÄN</t>
        </is>
      </c>
      <c r="E2702" t="inlineStr">
        <is>
          <t>SIMRISHAMN</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11943-2025</t>
        </is>
      </c>
      <c r="B2703" s="1" t="n">
        <v>45728</v>
      </c>
      <c r="C2703" s="1" t="n">
        <v>45962</v>
      </c>
      <c r="D2703" t="inlineStr">
        <is>
          <t>SKÅNE LÄN</t>
        </is>
      </c>
      <c r="E2703" t="inlineStr">
        <is>
          <t>HÖRBY</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23185-2025</t>
        </is>
      </c>
      <c r="B2704" s="1" t="n">
        <v>45791</v>
      </c>
      <c r="C2704" s="1" t="n">
        <v>45962</v>
      </c>
      <c r="D2704" t="inlineStr">
        <is>
          <t>SKÅNE LÄN</t>
        </is>
      </c>
      <c r="E2704" t="inlineStr">
        <is>
          <t>TOMELILLA</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8861-2025</t>
        </is>
      </c>
      <c r="B2705" s="1" t="n">
        <v>45713</v>
      </c>
      <c r="C2705" s="1" t="n">
        <v>45962</v>
      </c>
      <c r="D2705" t="inlineStr">
        <is>
          <t>SKÅNE LÄN</t>
        </is>
      </c>
      <c r="E2705" t="inlineStr">
        <is>
          <t>SJÖBO</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5167-2024</t>
        </is>
      </c>
      <c r="B2706" s="1" t="n">
        <v>45330</v>
      </c>
      <c r="C2706" s="1" t="n">
        <v>45962</v>
      </c>
      <c r="D2706" t="inlineStr">
        <is>
          <t>SKÅNE LÄN</t>
        </is>
      </c>
      <c r="E2706" t="inlineStr">
        <is>
          <t>SVALÖV</t>
        </is>
      </c>
      <c r="G2706" t="n">
        <v>6.5</v>
      </c>
      <c r="H2706" t="n">
        <v>0</v>
      </c>
      <c r="I2706" t="n">
        <v>0</v>
      </c>
      <c r="J2706" t="n">
        <v>0</v>
      </c>
      <c r="K2706" t="n">
        <v>0</v>
      </c>
      <c r="L2706" t="n">
        <v>0</v>
      </c>
      <c r="M2706" t="n">
        <v>0</v>
      </c>
      <c r="N2706" t="n">
        <v>0</v>
      </c>
      <c r="O2706" t="n">
        <v>0</v>
      </c>
      <c r="P2706" t="n">
        <v>0</v>
      </c>
      <c r="Q2706" t="n">
        <v>0</v>
      </c>
      <c r="R2706" s="2" t="inlineStr"/>
    </row>
    <row r="2707" ht="15" customHeight="1">
      <c r="A2707" t="inlineStr">
        <is>
          <t>A 4425-2025</t>
        </is>
      </c>
      <c r="B2707" s="1" t="n">
        <v>45686.48164351852</v>
      </c>
      <c r="C2707" s="1" t="n">
        <v>45962</v>
      </c>
      <c r="D2707" t="inlineStr">
        <is>
          <t>SKÅNE LÄN</t>
        </is>
      </c>
      <c r="E2707" t="inlineStr">
        <is>
          <t>ÖSTRA GÖINGE</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28370-2024</t>
        </is>
      </c>
      <c r="B2708" s="1" t="n">
        <v>45477.58034722223</v>
      </c>
      <c r="C2708" s="1" t="n">
        <v>45962</v>
      </c>
      <c r="D2708" t="inlineStr">
        <is>
          <t>SKÅNE LÄN</t>
        </is>
      </c>
      <c r="E2708" t="inlineStr">
        <is>
          <t>PERSTORP</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11941-2025</t>
        </is>
      </c>
      <c r="B2709" s="1" t="n">
        <v>45728</v>
      </c>
      <c r="C2709" s="1" t="n">
        <v>45962</v>
      </c>
      <c r="D2709" t="inlineStr">
        <is>
          <t>SKÅNE LÄN</t>
        </is>
      </c>
      <c r="E2709" t="inlineStr">
        <is>
          <t>HÖRBY</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31970-2023</t>
        </is>
      </c>
      <c r="B2710" s="1" t="n">
        <v>45119.4128587963</v>
      </c>
      <c r="C2710" s="1" t="n">
        <v>45962</v>
      </c>
      <c r="D2710" t="inlineStr">
        <is>
          <t>SKÅNE LÄN</t>
        </is>
      </c>
      <c r="E2710" t="inlineStr">
        <is>
          <t>OSBY</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12028-2025</t>
        </is>
      </c>
      <c r="B2711" s="1" t="n">
        <v>45728.64225694445</v>
      </c>
      <c r="C2711" s="1" t="n">
        <v>45962</v>
      </c>
      <c r="D2711" t="inlineStr">
        <is>
          <t>SKÅNE LÄN</t>
        </is>
      </c>
      <c r="E2711" t="inlineStr">
        <is>
          <t>HÖÖR</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31993-2023</t>
        </is>
      </c>
      <c r="B2712" s="1" t="n">
        <v>45119</v>
      </c>
      <c r="C2712" s="1" t="n">
        <v>45962</v>
      </c>
      <c r="D2712" t="inlineStr">
        <is>
          <t>SKÅNE LÄN</t>
        </is>
      </c>
      <c r="E2712" t="inlineStr">
        <is>
          <t>TOMELILLA</t>
        </is>
      </c>
      <c r="G2712" t="n">
        <v>6.8</v>
      </c>
      <c r="H2712" t="n">
        <v>0</v>
      </c>
      <c r="I2712" t="n">
        <v>0</v>
      </c>
      <c r="J2712" t="n">
        <v>0</v>
      </c>
      <c r="K2712" t="n">
        <v>0</v>
      </c>
      <c r="L2712" t="n">
        <v>0</v>
      </c>
      <c r="M2712" t="n">
        <v>0</v>
      </c>
      <c r="N2712" t="n">
        <v>0</v>
      </c>
      <c r="O2712" t="n">
        <v>0</v>
      </c>
      <c r="P2712" t="n">
        <v>0</v>
      </c>
      <c r="Q2712" t="n">
        <v>0</v>
      </c>
      <c r="R2712" s="2" t="inlineStr"/>
    </row>
    <row r="2713" ht="15" customHeight="1">
      <c r="A2713" t="inlineStr">
        <is>
          <t>A 5316-2023</t>
        </is>
      </c>
      <c r="B2713" s="1" t="n">
        <v>44959</v>
      </c>
      <c r="C2713" s="1" t="n">
        <v>45962</v>
      </c>
      <c r="D2713" t="inlineStr">
        <is>
          <t>SKÅNE LÄN</t>
        </is>
      </c>
      <c r="E2713" t="inlineStr">
        <is>
          <t>HÄSSLEHOLM</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23116-2025</t>
        </is>
      </c>
      <c r="B2714" s="1" t="n">
        <v>45791.37001157407</v>
      </c>
      <c r="C2714" s="1" t="n">
        <v>45962</v>
      </c>
      <c r="D2714" t="inlineStr">
        <is>
          <t>SKÅNE LÄN</t>
        </is>
      </c>
      <c r="E2714" t="inlineStr">
        <is>
          <t>HÖÖR</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13007-2024</t>
        </is>
      </c>
      <c r="B2715" s="1" t="n">
        <v>45385.57092592592</v>
      </c>
      <c r="C2715" s="1" t="n">
        <v>45962</v>
      </c>
      <c r="D2715" t="inlineStr">
        <is>
          <t>SKÅNE LÄN</t>
        </is>
      </c>
      <c r="E2715" t="inlineStr">
        <is>
          <t>HÄSSLEHOLM</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64728-2023</t>
        </is>
      </c>
      <c r="B2716" s="1" t="n">
        <v>45281</v>
      </c>
      <c r="C2716" s="1" t="n">
        <v>45962</v>
      </c>
      <c r="D2716" t="inlineStr">
        <is>
          <t>SKÅNE LÄN</t>
        </is>
      </c>
      <c r="E2716" t="inlineStr">
        <is>
          <t>ÄNGELHOLM</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43516-2021</t>
        </is>
      </c>
      <c r="B2717" s="1" t="n">
        <v>44433</v>
      </c>
      <c r="C2717" s="1" t="n">
        <v>45962</v>
      </c>
      <c r="D2717" t="inlineStr">
        <is>
          <t>SKÅNE LÄN</t>
        </is>
      </c>
      <c r="E2717" t="inlineStr">
        <is>
          <t>OSBY</t>
        </is>
      </c>
      <c r="G2717" t="n">
        <v>3.9</v>
      </c>
      <c r="H2717" t="n">
        <v>0</v>
      </c>
      <c r="I2717" t="n">
        <v>0</v>
      </c>
      <c r="J2717" t="n">
        <v>0</v>
      </c>
      <c r="K2717" t="n">
        <v>0</v>
      </c>
      <c r="L2717" t="n">
        <v>0</v>
      </c>
      <c r="M2717" t="n">
        <v>0</v>
      </c>
      <c r="N2717" t="n">
        <v>0</v>
      </c>
      <c r="O2717" t="n">
        <v>0</v>
      </c>
      <c r="P2717" t="n">
        <v>0</v>
      </c>
      <c r="Q2717" t="n">
        <v>0</v>
      </c>
      <c r="R2717" s="2" t="inlineStr"/>
    </row>
    <row r="2718" ht="15" customHeight="1">
      <c r="A2718" t="inlineStr">
        <is>
          <t>A 54557-2023</t>
        </is>
      </c>
      <c r="B2718" s="1" t="n">
        <v>45233.6346875</v>
      </c>
      <c r="C2718" s="1" t="n">
        <v>45962</v>
      </c>
      <c r="D2718" t="inlineStr">
        <is>
          <t>SKÅNE LÄN</t>
        </is>
      </c>
      <c r="E2718" t="inlineStr">
        <is>
          <t>BJUV</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11798-2022</t>
        </is>
      </c>
      <c r="B2719" s="1" t="n">
        <v>44634.64900462963</v>
      </c>
      <c r="C2719" s="1" t="n">
        <v>45962</v>
      </c>
      <c r="D2719" t="inlineStr">
        <is>
          <t>SKÅNE LÄN</t>
        </is>
      </c>
      <c r="E2719" t="inlineStr">
        <is>
          <t>HÄSSLEHOLM</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8455-2025</t>
        </is>
      </c>
      <c r="B2720" s="1" t="n">
        <v>45709</v>
      </c>
      <c r="C2720" s="1" t="n">
        <v>45962</v>
      </c>
      <c r="D2720" t="inlineStr">
        <is>
          <t>SKÅNE LÄN</t>
        </is>
      </c>
      <c r="E2720" t="inlineStr">
        <is>
          <t>KRISTIANSTAD</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12651-2022</t>
        </is>
      </c>
      <c r="B2721" s="1" t="n">
        <v>44641</v>
      </c>
      <c r="C2721" s="1" t="n">
        <v>45962</v>
      </c>
      <c r="D2721" t="inlineStr">
        <is>
          <t>SKÅNE LÄN</t>
        </is>
      </c>
      <c r="E2721" t="inlineStr">
        <is>
          <t>HELSINGBORG</t>
        </is>
      </c>
      <c r="G2721" t="n">
        <v>3.2</v>
      </c>
      <c r="H2721" t="n">
        <v>0</v>
      </c>
      <c r="I2721" t="n">
        <v>0</v>
      </c>
      <c r="J2721" t="n">
        <v>0</v>
      </c>
      <c r="K2721" t="n">
        <v>0</v>
      </c>
      <c r="L2721" t="n">
        <v>0</v>
      </c>
      <c r="M2721" t="n">
        <v>0</v>
      </c>
      <c r="N2721" t="n">
        <v>0</v>
      </c>
      <c r="O2721" t="n">
        <v>0</v>
      </c>
      <c r="P2721" t="n">
        <v>0</v>
      </c>
      <c r="Q2721" t="n">
        <v>0</v>
      </c>
      <c r="R2721" s="2" t="inlineStr"/>
    </row>
    <row r="2722" ht="15" customHeight="1">
      <c r="A2722" t="inlineStr">
        <is>
          <t>A 40152-2024</t>
        </is>
      </c>
      <c r="B2722" s="1" t="n">
        <v>45554</v>
      </c>
      <c r="C2722" s="1" t="n">
        <v>45962</v>
      </c>
      <c r="D2722" t="inlineStr">
        <is>
          <t>SKÅNE LÄN</t>
        </is>
      </c>
      <c r="E2722" t="inlineStr">
        <is>
          <t>HÄSSLEHOLM</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60803-2023</t>
        </is>
      </c>
      <c r="B2723" s="1" t="n">
        <v>45260</v>
      </c>
      <c r="C2723" s="1" t="n">
        <v>45962</v>
      </c>
      <c r="D2723" t="inlineStr">
        <is>
          <t>SKÅNE LÄN</t>
        </is>
      </c>
      <c r="E2723" t="inlineStr">
        <is>
          <t>YSTAD</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23251-2025</t>
        </is>
      </c>
      <c r="B2724" s="1" t="n">
        <v>45791</v>
      </c>
      <c r="C2724" s="1" t="n">
        <v>45962</v>
      </c>
      <c r="D2724" t="inlineStr">
        <is>
          <t>SKÅNE LÄN</t>
        </is>
      </c>
      <c r="E2724" t="inlineStr">
        <is>
          <t>OSBY</t>
        </is>
      </c>
      <c r="G2724" t="n">
        <v>9.1</v>
      </c>
      <c r="H2724" t="n">
        <v>0</v>
      </c>
      <c r="I2724" t="n">
        <v>0</v>
      </c>
      <c r="J2724" t="n">
        <v>0</v>
      </c>
      <c r="K2724" t="n">
        <v>0</v>
      </c>
      <c r="L2724" t="n">
        <v>0</v>
      </c>
      <c r="M2724" t="n">
        <v>0</v>
      </c>
      <c r="N2724" t="n">
        <v>0</v>
      </c>
      <c r="O2724" t="n">
        <v>0</v>
      </c>
      <c r="P2724" t="n">
        <v>0</v>
      </c>
      <c r="Q2724" t="n">
        <v>0</v>
      </c>
      <c r="R2724" s="2" t="inlineStr"/>
    </row>
    <row r="2725" ht="15" customHeight="1">
      <c r="A2725" t="inlineStr">
        <is>
          <t>A 74030-2021</t>
        </is>
      </c>
      <c r="B2725" s="1" t="n">
        <v>44553</v>
      </c>
      <c r="C2725" s="1" t="n">
        <v>45962</v>
      </c>
      <c r="D2725" t="inlineStr">
        <is>
          <t>SKÅNE LÄN</t>
        </is>
      </c>
      <c r="E2725" t="inlineStr">
        <is>
          <t>HÄSSLEHOLM</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15072-2024</t>
        </is>
      </c>
      <c r="B2726" s="1" t="n">
        <v>45399.5996875</v>
      </c>
      <c r="C2726" s="1" t="n">
        <v>45962</v>
      </c>
      <c r="D2726" t="inlineStr">
        <is>
          <t>SKÅNE LÄN</t>
        </is>
      </c>
      <c r="E2726" t="inlineStr">
        <is>
          <t>HÄSSLEHOLM</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63464-2023</t>
        </is>
      </c>
      <c r="B2727" s="1" t="n">
        <v>45273</v>
      </c>
      <c r="C2727" s="1" t="n">
        <v>45962</v>
      </c>
      <c r="D2727" t="inlineStr">
        <is>
          <t>SKÅNE LÄN</t>
        </is>
      </c>
      <c r="E2727" t="inlineStr">
        <is>
          <t>SIMRISHAMN</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6858-2025</t>
        </is>
      </c>
      <c r="B2728" s="1" t="n">
        <v>45700</v>
      </c>
      <c r="C2728" s="1" t="n">
        <v>45962</v>
      </c>
      <c r="D2728" t="inlineStr">
        <is>
          <t>SKÅNE LÄN</t>
        </is>
      </c>
      <c r="E2728" t="inlineStr">
        <is>
          <t>KRISTIANSTAD</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12631-2021</t>
        </is>
      </c>
      <c r="B2729" s="1" t="n">
        <v>44270</v>
      </c>
      <c r="C2729" s="1" t="n">
        <v>45962</v>
      </c>
      <c r="D2729" t="inlineStr">
        <is>
          <t>SKÅNE LÄN</t>
        </is>
      </c>
      <c r="E2729" t="inlineStr">
        <is>
          <t>ÖRKELLJUNGA</t>
        </is>
      </c>
      <c r="G2729" t="n">
        <v>2.4</v>
      </c>
      <c r="H2729" t="n">
        <v>0</v>
      </c>
      <c r="I2729" t="n">
        <v>0</v>
      </c>
      <c r="J2729" t="n">
        <v>0</v>
      </c>
      <c r="K2729" t="n">
        <v>0</v>
      </c>
      <c r="L2729" t="n">
        <v>0</v>
      </c>
      <c r="M2729" t="n">
        <v>0</v>
      </c>
      <c r="N2729" t="n">
        <v>0</v>
      </c>
      <c r="O2729" t="n">
        <v>0</v>
      </c>
      <c r="P2729" t="n">
        <v>0</v>
      </c>
      <c r="Q2729" t="n">
        <v>0</v>
      </c>
      <c r="R2729" s="2" t="inlineStr"/>
    </row>
    <row r="2730" ht="15" customHeight="1">
      <c r="A2730" t="inlineStr">
        <is>
          <t>A 56881-2021</t>
        </is>
      </c>
      <c r="B2730" s="1" t="n">
        <v>44481</v>
      </c>
      <c r="C2730" s="1" t="n">
        <v>45962</v>
      </c>
      <c r="D2730" t="inlineStr">
        <is>
          <t>SKÅNE LÄN</t>
        </is>
      </c>
      <c r="E2730" t="inlineStr">
        <is>
          <t>HÄSSLEHOLM</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11262-2025</t>
        </is>
      </c>
      <c r="B2731" s="1" t="n">
        <v>45726</v>
      </c>
      <c r="C2731" s="1" t="n">
        <v>45962</v>
      </c>
      <c r="D2731" t="inlineStr">
        <is>
          <t>SKÅNE LÄN</t>
        </is>
      </c>
      <c r="E2731" t="inlineStr">
        <is>
          <t>HÄSSLEHOLM</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11460-2025</t>
        </is>
      </c>
      <c r="B2732" s="1" t="n">
        <v>45726</v>
      </c>
      <c r="C2732" s="1" t="n">
        <v>45962</v>
      </c>
      <c r="D2732" t="inlineStr">
        <is>
          <t>SKÅNE LÄN</t>
        </is>
      </c>
      <c r="E2732" t="inlineStr">
        <is>
          <t>ÖRKELLJUNGA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63783-2023</t>
        </is>
      </c>
      <c r="B2733" s="1" t="n">
        <v>45278.38888888889</v>
      </c>
      <c r="C2733" s="1" t="n">
        <v>45962</v>
      </c>
      <c r="D2733" t="inlineStr">
        <is>
          <t>SKÅNE LÄN</t>
        </is>
      </c>
      <c r="E2733" t="inlineStr">
        <is>
          <t>ÖRKELLJUNGA</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34793-2023</t>
        </is>
      </c>
      <c r="B2734" s="1" t="n">
        <v>45141.58101851852</v>
      </c>
      <c r="C2734" s="1" t="n">
        <v>45962</v>
      </c>
      <c r="D2734" t="inlineStr">
        <is>
          <t>SKÅNE LÄN</t>
        </is>
      </c>
      <c r="E2734" t="inlineStr">
        <is>
          <t>ÖSTRA GÖINGE</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11067-2022</t>
        </is>
      </c>
      <c r="B2735" s="1" t="n">
        <v>44628</v>
      </c>
      <c r="C2735" s="1" t="n">
        <v>45962</v>
      </c>
      <c r="D2735" t="inlineStr">
        <is>
          <t>SKÅNE LÄN</t>
        </is>
      </c>
      <c r="E2735" t="inlineStr">
        <is>
          <t>KRISTIANSTAD</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5395-2024</t>
        </is>
      </c>
      <c r="B2736" s="1" t="n">
        <v>45331</v>
      </c>
      <c r="C2736" s="1" t="n">
        <v>45962</v>
      </c>
      <c r="D2736" t="inlineStr">
        <is>
          <t>SKÅNE LÄN</t>
        </is>
      </c>
      <c r="E2736" t="inlineStr">
        <is>
          <t>HÄSSLEHOLM</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8204-2023</t>
        </is>
      </c>
      <c r="B2737" s="1" t="n">
        <v>44971</v>
      </c>
      <c r="C2737" s="1" t="n">
        <v>45962</v>
      </c>
      <c r="D2737" t="inlineStr">
        <is>
          <t>SKÅNE LÄN</t>
        </is>
      </c>
      <c r="E2737" t="inlineStr">
        <is>
          <t>ÖRKELLJUNGA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45353-2024</t>
        </is>
      </c>
      <c r="B2738" s="1" t="n">
        <v>45576.47909722223</v>
      </c>
      <c r="C2738" s="1" t="n">
        <v>45962</v>
      </c>
      <c r="D2738" t="inlineStr">
        <is>
          <t>SKÅNE LÄN</t>
        </is>
      </c>
      <c r="E2738" t="inlineStr">
        <is>
          <t>SJÖBO</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36606-2024</t>
        </is>
      </c>
      <c r="B2739" s="1" t="n">
        <v>45537.56913194444</v>
      </c>
      <c r="C2739" s="1" t="n">
        <v>45962</v>
      </c>
      <c r="D2739" t="inlineStr">
        <is>
          <t>SKÅNE LÄN</t>
        </is>
      </c>
      <c r="E2739" t="inlineStr">
        <is>
          <t>KLIPPAN</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2621-2025</t>
        </is>
      </c>
      <c r="B2740" s="1" t="n">
        <v>45675.60765046296</v>
      </c>
      <c r="C2740" s="1" t="n">
        <v>45962</v>
      </c>
      <c r="D2740" t="inlineStr">
        <is>
          <t>SKÅNE LÄN</t>
        </is>
      </c>
      <c r="E2740" t="inlineStr">
        <is>
          <t>HÄSSLEHOLM</t>
        </is>
      </c>
      <c r="F2740" t="inlineStr">
        <is>
          <t>Kommuner</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8737-2025</t>
        </is>
      </c>
      <c r="B2741" s="1" t="n">
        <v>45712.54578703704</v>
      </c>
      <c r="C2741" s="1" t="n">
        <v>45962</v>
      </c>
      <c r="D2741" t="inlineStr">
        <is>
          <t>SKÅNE LÄN</t>
        </is>
      </c>
      <c r="E2741" t="inlineStr">
        <is>
          <t>HÄSSLEHOLM</t>
        </is>
      </c>
      <c r="G2741" t="n">
        <v>2.7</v>
      </c>
      <c r="H2741" t="n">
        <v>0</v>
      </c>
      <c r="I2741" t="n">
        <v>0</v>
      </c>
      <c r="J2741" t="n">
        <v>0</v>
      </c>
      <c r="K2741" t="n">
        <v>0</v>
      </c>
      <c r="L2741" t="n">
        <v>0</v>
      </c>
      <c r="M2741" t="n">
        <v>0</v>
      </c>
      <c r="N2741" t="n">
        <v>0</v>
      </c>
      <c r="O2741" t="n">
        <v>0</v>
      </c>
      <c r="P2741" t="n">
        <v>0</v>
      </c>
      <c r="Q2741" t="n">
        <v>0</v>
      </c>
      <c r="R2741" s="2" t="inlineStr"/>
    </row>
    <row r="2742" ht="15" customHeight="1">
      <c r="A2742" t="inlineStr">
        <is>
          <t>A 48582-2023</t>
        </is>
      </c>
      <c r="B2742" s="1" t="n">
        <v>45208.47866898148</v>
      </c>
      <c r="C2742" s="1" t="n">
        <v>45962</v>
      </c>
      <c r="D2742" t="inlineStr">
        <is>
          <t>SKÅNE LÄN</t>
        </is>
      </c>
      <c r="E2742" t="inlineStr">
        <is>
          <t>OSBY</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2453-2025</t>
        </is>
      </c>
      <c r="B2743" s="1" t="n">
        <v>45674.44508101852</v>
      </c>
      <c r="C2743" s="1" t="n">
        <v>45962</v>
      </c>
      <c r="D2743" t="inlineStr">
        <is>
          <t>SKÅNE LÄN</t>
        </is>
      </c>
      <c r="E2743" t="inlineStr">
        <is>
          <t>BROMÖLLA</t>
        </is>
      </c>
      <c r="G2743" t="n">
        <v>0.2</v>
      </c>
      <c r="H2743" t="n">
        <v>0</v>
      </c>
      <c r="I2743" t="n">
        <v>0</v>
      </c>
      <c r="J2743" t="n">
        <v>0</v>
      </c>
      <c r="K2743" t="n">
        <v>0</v>
      </c>
      <c r="L2743" t="n">
        <v>0</v>
      </c>
      <c r="M2743" t="n">
        <v>0</v>
      </c>
      <c r="N2743" t="n">
        <v>0</v>
      </c>
      <c r="O2743" t="n">
        <v>0</v>
      </c>
      <c r="P2743" t="n">
        <v>0</v>
      </c>
      <c r="Q2743" t="n">
        <v>0</v>
      </c>
      <c r="R2743" s="2" t="inlineStr"/>
    </row>
    <row r="2744" ht="15" customHeight="1">
      <c r="A2744" t="inlineStr">
        <is>
          <t>A 56972-2023</t>
        </is>
      </c>
      <c r="B2744" s="1" t="n">
        <v>45244</v>
      </c>
      <c r="C2744" s="1" t="n">
        <v>45962</v>
      </c>
      <c r="D2744" t="inlineStr">
        <is>
          <t>SKÅNE LÄN</t>
        </is>
      </c>
      <c r="E2744" t="inlineStr">
        <is>
          <t>KRISTIANSTAD</t>
        </is>
      </c>
      <c r="F2744" t="inlineStr">
        <is>
          <t>Övriga Aktiebolag</t>
        </is>
      </c>
      <c r="G2744" t="n">
        <v>8.9</v>
      </c>
      <c r="H2744" t="n">
        <v>0</v>
      </c>
      <c r="I2744" t="n">
        <v>0</v>
      </c>
      <c r="J2744" t="n">
        <v>0</v>
      </c>
      <c r="K2744" t="n">
        <v>0</v>
      </c>
      <c r="L2744" t="n">
        <v>0</v>
      </c>
      <c r="M2744" t="n">
        <v>0</v>
      </c>
      <c r="N2744" t="n">
        <v>0</v>
      </c>
      <c r="O2744" t="n">
        <v>0</v>
      </c>
      <c r="P2744" t="n">
        <v>0</v>
      </c>
      <c r="Q2744" t="n">
        <v>0</v>
      </c>
      <c r="R2744" s="2" t="inlineStr"/>
    </row>
    <row r="2745" ht="15" customHeight="1">
      <c r="A2745" t="inlineStr">
        <is>
          <t>A 8190-2024</t>
        </is>
      </c>
      <c r="B2745" s="1" t="n">
        <v>45338</v>
      </c>
      <c r="C2745" s="1" t="n">
        <v>45962</v>
      </c>
      <c r="D2745" t="inlineStr">
        <is>
          <t>SKÅNE LÄN</t>
        </is>
      </c>
      <c r="E2745" t="inlineStr">
        <is>
          <t>TOMELILLA</t>
        </is>
      </c>
      <c r="F2745" t="inlineStr">
        <is>
          <t>Kyrkan</t>
        </is>
      </c>
      <c r="G2745" t="n">
        <v>3.6</v>
      </c>
      <c r="H2745" t="n">
        <v>0</v>
      </c>
      <c r="I2745" t="n">
        <v>0</v>
      </c>
      <c r="J2745" t="n">
        <v>0</v>
      </c>
      <c r="K2745" t="n">
        <v>0</v>
      </c>
      <c r="L2745" t="n">
        <v>0</v>
      </c>
      <c r="M2745" t="n">
        <v>0</v>
      </c>
      <c r="N2745" t="n">
        <v>0</v>
      </c>
      <c r="O2745" t="n">
        <v>0</v>
      </c>
      <c r="P2745" t="n">
        <v>0</v>
      </c>
      <c r="Q2745" t="n">
        <v>0</v>
      </c>
      <c r="R2745" s="2" t="inlineStr"/>
    </row>
    <row r="2746" ht="15" customHeight="1">
      <c r="A2746" t="inlineStr">
        <is>
          <t>A 43321-2023</t>
        </is>
      </c>
      <c r="B2746" s="1" t="n">
        <v>45183</v>
      </c>
      <c r="C2746" s="1" t="n">
        <v>45962</v>
      </c>
      <c r="D2746" t="inlineStr">
        <is>
          <t>SKÅNE LÄN</t>
        </is>
      </c>
      <c r="E2746" t="inlineStr">
        <is>
          <t>KRISTIANSTAD</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8804-2025</t>
        </is>
      </c>
      <c r="B2747" s="1" t="n">
        <v>45712</v>
      </c>
      <c r="C2747" s="1" t="n">
        <v>45962</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8807-2025</t>
        </is>
      </c>
      <c r="B2748" s="1" t="n">
        <v>45712</v>
      </c>
      <c r="C2748" s="1" t="n">
        <v>45962</v>
      </c>
      <c r="D2748" t="inlineStr">
        <is>
          <t>SKÅNE LÄN</t>
        </is>
      </c>
      <c r="E2748" t="inlineStr">
        <is>
          <t>KRISTIANSTAD</t>
        </is>
      </c>
      <c r="G2748" t="n">
        <v>7.1</v>
      </c>
      <c r="H2748" t="n">
        <v>0</v>
      </c>
      <c r="I2748" t="n">
        <v>0</v>
      </c>
      <c r="J2748" t="n">
        <v>0</v>
      </c>
      <c r="K2748" t="n">
        <v>0</v>
      </c>
      <c r="L2748" t="n">
        <v>0</v>
      </c>
      <c r="M2748" t="n">
        <v>0</v>
      </c>
      <c r="N2748" t="n">
        <v>0</v>
      </c>
      <c r="O2748" t="n">
        <v>0</v>
      </c>
      <c r="P2748" t="n">
        <v>0</v>
      </c>
      <c r="Q2748" t="n">
        <v>0</v>
      </c>
      <c r="R2748" s="2" t="inlineStr"/>
    </row>
    <row r="2749" ht="15" customHeight="1">
      <c r="A2749" t="inlineStr">
        <is>
          <t>A 8192-2024</t>
        </is>
      </c>
      <c r="B2749" s="1" t="n">
        <v>45338</v>
      </c>
      <c r="C2749" s="1" t="n">
        <v>45962</v>
      </c>
      <c r="D2749" t="inlineStr">
        <is>
          <t>SKÅNE LÄN</t>
        </is>
      </c>
      <c r="E2749" t="inlineStr">
        <is>
          <t>TOMELILLA</t>
        </is>
      </c>
      <c r="F2749" t="inlineStr">
        <is>
          <t>Kyrkan</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37764-2022</t>
        </is>
      </c>
      <c r="B2750" s="1" t="n">
        <v>44810</v>
      </c>
      <c r="C2750" s="1" t="n">
        <v>45962</v>
      </c>
      <c r="D2750" t="inlineStr">
        <is>
          <t>SKÅNE LÄN</t>
        </is>
      </c>
      <c r="E2750" t="inlineStr">
        <is>
          <t>HÄSSLEHOLM</t>
        </is>
      </c>
      <c r="F2750" t="inlineStr">
        <is>
          <t>Kyrkan</t>
        </is>
      </c>
      <c r="G2750" t="n">
        <v>9.4</v>
      </c>
      <c r="H2750" t="n">
        <v>0</v>
      </c>
      <c r="I2750" t="n">
        <v>0</v>
      </c>
      <c r="J2750" t="n">
        <v>0</v>
      </c>
      <c r="K2750" t="n">
        <v>0</v>
      </c>
      <c r="L2750" t="n">
        <v>0</v>
      </c>
      <c r="M2750" t="n">
        <v>0</v>
      </c>
      <c r="N2750" t="n">
        <v>0</v>
      </c>
      <c r="O2750" t="n">
        <v>0</v>
      </c>
      <c r="P2750" t="n">
        <v>0</v>
      </c>
      <c r="Q2750" t="n">
        <v>0</v>
      </c>
      <c r="R2750" s="2" t="inlineStr"/>
    </row>
    <row r="2751" ht="15" customHeight="1">
      <c r="A2751" t="inlineStr">
        <is>
          <t>A 12248-2024</t>
        </is>
      </c>
      <c r="B2751" s="1" t="n">
        <v>45377</v>
      </c>
      <c r="C2751" s="1" t="n">
        <v>45962</v>
      </c>
      <c r="D2751" t="inlineStr">
        <is>
          <t>SKÅNE LÄN</t>
        </is>
      </c>
      <c r="E2751" t="inlineStr">
        <is>
          <t>OSBY</t>
        </is>
      </c>
      <c r="F2751" t="inlineStr">
        <is>
          <t>Kommuner</t>
        </is>
      </c>
      <c r="G2751" t="n">
        <v>7.3</v>
      </c>
      <c r="H2751" t="n">
        <v>0</v>
      </c>
      <c r="I2751" t="n">
        <v>0</v>
      </c>
      <c r="J2751" t="n">
        <v>0</v>
      </c>
      <c r="K2751" t="n">
        <v>0</v>
      </c>
      <c r="L2751" t="n">
        <v>0</v>
      </c>
      <c r="M2751" t="n">
        <v>0</v>
      </c>
      <c r="N2751" t="n">
        <v>0</v>
      </c>
      <c r="O2751" t="n">
        <v>0</v>
      </c>
      <c r="P2751" t="n">
        <v>0</v>
      </c>
      <c r="Q2751" t="n">
        <v>0</v>
      </c>
      <c r="R2751" s="2" t="inlineStr"/>
    </row>
    <row r="2752" ht="15" customHeight="1">
      <c r="A2752" t="inlineStr">
        <is>
          <t>A 13673-2023</t>
        </is>
      </c>
      <c r="B2752" s="1" t="n">
        <v>45006.87957175926</v>
      </c>
      <c r="C2752" s="1" t="n">
        <v>45962</v>
      </c>
      <c r="D2752" t="inlineStr">
        <is>
          <t>SKÅNE LÄN</t>
        </is>
      </c>
      <c r="E2752" t="inlineStr">
        <is>
          <t>HÄSSLEHOLM</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17458-2023</t>
        </is>
      </c>
      <c r="B2753" s="1" t="n">
        <v>45034</v>
      </c>
      <c r="C2753" s="1" t="n">
        <v>45962</v>
      </c>
      <c r="D2753" t="inlineStr">
        <is>
          <t>SKÅNE LÄN</t>
        </is>
      </c>
      <c r="E2753" t="inlineStr">
        <is>
          <t>ÖRKELLJUNGA</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54669-2023</t>
        </is>
      </c>
      <c r="B2754" s="1" t="n">
        <v>45235.63085648148</v>
      </c>
      <c r="C2754" s="1" t="n">
        <v>45962</v>
      </c>
      <c r="D2754" t="inlineStr">
        <is>
          <t>SKÅNE LÄN</t>
        </is>
      </c>
      <c r="E2754" t="inlineStr">
        <is>
          <t>ÖRKELLJUNGA</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36119-2024</t>
        </is>
      </c>
      <c r="B2755" s="1" t="n">
        <v>45534</v>
      </c>
      <c r="C2755" s="1" t="n">
        <v>45962</v>
      </c>
      <c r="D2755" t="inlineStr">
        <is>
          <t>SKÅNE LÄN</t>
        </is>
      </c>
      <c r="E2755" t="inlineStr">
        <is>
          <t>HÖÖR</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25669-2024</t>
        </is>
      </c>
      <c r="B2756" s="1" t="n">
        <v>45463.71800925926</v>
      </c>
      <c r="C2756" s="1" t="n">
        <v>45962</v>
      </c>
      <c r="D2756" t="inlineStr">
        <is>
          <t>SKÅNE LÄN</t>
        </is>
      </c>
      <c r="E2756" t="inlineStr">
        <is>
          <t>ÄNGELHOLM</t>
        </is>
      </c>
      <c r="G2756" t="n">
        <v>17.9</v>
      </c>
      <c r="H2756" t="n">
        <v>0</v>
      </c>
      <c r="I2756" t="n">
        <v>0</v>
      </c>
      <c r="J2756" t="n">
        <v>0</v>
      </c>
      <c r="K2756" t="n">
        <v>0</v>
      </c>
      <c r="L2756" t="n">
        <v>0</v>
      </c>
      <c r="M2756" t="n">
        <v>0</v>
      </c>
      <c r="N2756" t="n">
        <v>0</v>
      </c>
      <c r="O2756" t="n">
        <v>0</v>
      </c>
      <c r="P2756" t="n">
        <v>0</v>
      </c>
      <c r="Q2756" t="n">
        <v>0</v>
      </c>
      <c r="R2756" s="2" t="inlineStr"/>
    </row>
    <row r="2757" ht="15" customHeight="1">
      <c r="A2757" t="inlineStr">
        <is>
          <t>A 57669-2020</t>
        </is>
      </c>
      <c r="B2757" s="1" t="n">
        <v>44140</v>
      </c>
      <c r="C2757" s="1" t="n">
        <v>45962</v>
      </c>
      <c r="D2757" t="inlineStr">
        <is>
          <t>SKÅNE LÄN</t>
        </is>
      </c>
      <c r="E2757" t="inlineStr">
        <is>
          <t>OSBY</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51018-2023</t>
        </is>
      </c>
      <c r="B2758" s="1" t="n">
        <v>45218</v>
      </c>
      <c r="C2758" s="1" t="n">
        <v>45962</v>
      </c>
      <c r="D2758" t="inlineStr">
        <is>
          <t>SKÅNE LÄN</t>
        </is>
      </c>
      <c r="E2758" t="inlineStr">
        <is>
          <t>HÄSSLEHOLM</t>
        </is>
      </c>
      <c r="G2758" t="n">
        <v>3.1</v>
      </c>
      <c r="H2758" t="n">
        <v>0</v>
      </c>
      <c r="I2758" t="n">
        <v>0</v>
      </c>
      <c r="J2758" t="n">
        <v>0</v>
      </c>
      <c r="K2758" t="n">
        <v>0</v>
      </c>
      <c r="L2758" t="n">
        <v>0</v>
      </c>
      <c r="M2758" t="n">
        <v>0</v>
      </c>
      <c r="N2758" t="n">
        <v>0</v>
      </c>
      <c r="O2758" t="n">
        <v>0</v>
      </c>
      <c r="P2758" t="n">
        <v>0</v>
      </c>
      <c r="Q2758" t="n">
        <v>0</v>
      </c>
      <c r="R2758" s="2" t="inlineStr"/>
    </row>
    <row r="2759" ht="15" customHeight="1">
      <c r="A2759" t="inlineStr">
        <is>
          <t>A 5619-2024</t>
        </is>
      </c>
      <c r="B2759" s="1" t="n">
        <v>45334</v>
      </c>
      <c r="C2759" s="1" t="n">
        <v>45962</v>
      </c>
      <c r="D2759" t="inlineStr">
        <is>
          <t>SKÅNE LÄN</t>
        </is>
      </c>
      <c r="E2759" t="inlineStr">
        <is>
          <t>HÖRBY</t>
        </is>
      </c>
      <c r="G2759" t="n">
        <v>4.6</v>
      </c>
      <c r="H2759" t="n">
        <v>0</v>
      </c>
      <c r="I2759" t="n">
        <v>0</v>
      </c>
      <c r="J2759" t="n">
        <v>0</v>
      </c>
      <c r="K2759" t="n">
        <v>0</v>
      </c>
      <c r="L2759" t="n">
        <v>0</v>
      </c>
      <c r="M2759" t="n">
        <v>0</v>
      </c>
      <c r="N2759" t="n">
        <v>0</v>
      </c>
      <c r="O2759" t="n">
        <v>0</v>
      </c>
      <c r="P2759" t="n">
        <v>0</v>
      </c>
      <c r="Q2759" t="n">
        <v>0</v>
      </c>
      <c r="R2759" s="2" t="inlineStr"/>
    </row>
    <row r="2760" ht="15" customHeight="1">
      <c r="A2760" t="inlineStr">
        <is>
          <t>A 23005-2025</t>
        </is>
      </c>
      <c r="B2760" s="1" t="n">
        <v>45790</v>
      </c>
      <c r="C2760" s="1" t="n">
        <v>45962</v>
      </c>
      <c r="D2760" t="inlineStr">
        <is>
          <t>SKÅNE LÄN</t>
        </is>
      </c>
      <c r="E2760" t="inlineStr">
        <is>
          <t>HÄSSLEHOLM</t>
        </is>
      </c>
      <c r="G2760" t="n">
        <v>0.3</v>
      </c>
      <c r="H2760" t="n">
        <v>0</v>
      </c>
      <c r="I2760" t="n">
        <v>0</v>
      </c>
      <c r="J2760" t="n">
        <v>0</v>
      </c>
      <c r="K2760" t="n">
        <v>0</v>
      </c>
      <c r="L2760" t="n">
        <v>0</v>
      </c>
      <c r="M2760" t="n">
        <v>0</v>
      </c>
      <c r="N2760" t="n">
        <v>0</v>
      </c>
      <c r="O2760" t="n">
        <v>0</v>
      </c>
      <c r="P2760" t="n">
        <v>0</v>
      </c>
      <c r="Q2760" t="n">
        <v>0</v>
      </c>
      <c r="R2760" s="2" t="inlineStr"/>
    </row>
    <row r="2761" ht="15" customHeight="1">
      <c r="A2761" t="inlineStr">
        <is>
          <t>A 10781-2022</t>
        </is>
      </c>
      <c r="B2761" s="1" t="n">
        <v>44627</v>
      </c>
      <c r="C2761" s="1" t="n">
        <v>45962</v>
      </c>
      <c r="D2761" t="inlineStr">
        <is>
          <t>SKÅNE LÄN</t>
        </is>
      </c>
      <c r="E2761" t="inlineStr">
        <is>
          <t>KRISTIANSTAD</t>
        </is>
      </c>
      <c r="G2761" t="n">
        <v>5.2</v>
      </c>
      <c r="H2761" t="n">
        <v>0</v>
      </c>
      <c r="I2761" t="n">
        <v>0</v>
      </c>
      <c r="J2761" t="n">
        <v>0</v>
      </c>
      <c r="K2761" t="n">
        <v>0</v>
      </c>
      <c r="L2761" t="n">
        <v>0</v>
      </c>
      <c r="M2761" t="n">
        <v>0</v>
      </c>
      <c r="N2761" t="n">
        <v>0</v>
      </c>
      <c r="O2761" t="n">
        <v>0</v>
      </c>
      <c r="P2761" t="n">
        <v>0</v>
      </c>
      <c r="Q2761" t="n">
        <v>0</v>
      </c>
      <c r="R2761" s="2" t="inlineStr"/>
    </row>
    <row r="2762" ht="15" customHeight="1">
      <c r="A2762" t="inlineStr">
        <is>
          <t>A 60797-2024</t>
        </is>
      </c>
      <c r="B2762" s="1" t="n">
        <v>45644</v>
      </c>
      <c r="C2762" s="1" t="n">
        <v>45962</v>
      </c>
      <c r="D2762" t="inlineStr">
        <is>
          <t>SKÅNE LÄN</t>
        </is>
      </c>
      <c r="E2762" t="inlineStr">
        <is>
          <t>HÄSSLEHOLM</t>
        </is>
      </c>
      <c r="G2762" t="n">
        <v>3.4</v>
      </c>
      <c r="H2762" t="n">
        <v>0</v>
      </c>
      <c r="I2762" t="n">
        <v>0</v>
      </c>
      <c r="J2762" t="n">
        <v>0</v>
      </c>
      <c r="K2762" t="n">
        <v>0</v>
      </c>
      <c r="L2762" t="n">
        <v>0</v>
      </c>
      <c r="M2762" t="n">
        <v>0</v>
      </c>
      <c r="N2762" t="n">
        <v>0</v>
      </c>
      <c r="O2762" t="n">
        <v>0</v>
      </c>
      <c r="P2762" t="n">
        <v>0</v>
      </c>
      <c r="Q2762" t="n">
        <v>0</v>
      </c>
      <c r="R2762" s="2" t="inlineStr"/>
    </row>
    <row r="2763" ht="15" customHeight="1">
      <c r="A2763" t="inlineStr">
        <is>
          <t>A 60504-2024</t>
        </is>
      </c>
      <c r="B2763" s="1" t="n">
        <v>45643</v>
      </c>
      <c r="C2763" s="1" t="n">
        <v>45962</v>
      </c>
      <c r="D2763" t="inlineStr">
        <is>
          <t>SKÅNE LÄN</t>
        </is>
      </c>
      <c r="E2763" t="inlineStr">
        <is>
          <t>ÖSTRA GÖINGE</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27318-2022</t>
        </is>
      </c>
      <c r="B2764" s="1" t="n">
        <v>44742</v>
      </c>
      <c r="C2764" s="1" t="n">
        <v>45962</v>
      </c>
      <c r="D2764" t="inlineStr">
        <is>
          <t>SKÅNE LÄN</t>
        </is>
      </c>
      <c r="E2764" t="inlineStr">
        <is>
          <t>ÖSTRA GÖINGE</t>
        </is>
      </c>
      <c r="G2764" t="n">
        <v>8.300000000000001</v>
      </c>
      <c r="H2764" t="n">
        <v>0</v>
      </c>
      <c r="I2764" t="n">
        <v>0</v>
      </c>
      <c r="J2764" t="n">
        <v>0</v>
      </c>
      <c r="K2764" t="n">
        <v>0</v>
      </c>
      <c r="L2764" t="n">
        <v>0</v>
      </c>
      <c r="M2764" t="n">
        <v>0</v>
      </c>
      <c r="N2764" t="n">
        <v>0</v>
      </c>
      <c r="O2764" t="n">
        <v>0</v>
      </c>
      <c r="P2764" t="n">
        <v>0</v>
      </c>
      <c r="Q2764" t="n">
        <v>0</v>
      </c>
      <c r="R2764" s="2" t="inlineStr"/>
    </row>
    <row r="2765" ht="15" customHeight="1">
      <c r="A2765" t="inlineStr">
        <is>
          <t>A 32546-2021</t>
        </is>
      </c>
      <c r="B2765" s="1" t="n">
        <v>44374.9483912037</v>
      </c>
      <c r="C2765" s="1" t="n">
        <v>45962</v>
      </c>
      <c r="D2765" t="inlineStr">
        <is>
          <t>SKÅNE LÄN</t>
        </is>
      </c>
      <c r="E2765" t="inlineStr">
        <is>
          <t>HÖRBY</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47237-2024</t>
        </is>
      </c>
      <c r="B2766" s="1" t="n">
        <v>45586</v>
      </c>
      <c r="C2766" s="1" t="n">
        <v>45962</v>
      </c>
      <c r="D2766" t="inlineStr">
        <is>
          <t>SKÅNE LÄN</t>
        </is>
      </c>
      <c r="E2766" t="inlineStr">
        <is>
          <t>KRISTIANSTAD</t>
        </is>
      </c>
      <c r="F2766" t="inlineStr">
        <is>
          <t>Övriga Aktiebolag</t>
        </is>
      </c>
      <c r="G2766" t="n">
        <v>11.2</v>
      </c>
      <c r="H2766" t="n">
        <v>0</v>
      </c>
      <c r="I2766" t="n">
        <v>0</v>
      </c>
      <c r="J2766" t="n">
        <v>0</v>
      </c>
      <c r="K2766" t="n">
        <v>0</v>
      </c>
      <c r="L2766" t="n">
        <v>0</v>
      </c>
      <c r="M2766" t="n">
        <v>0</v>
      </c>
      <c r="N2766" t="n">
        <v>0</v>
      </c>
      <c r="O2766" t="n">
        <v>0</v>
      </c>
      <c r="P2766" t="n">
        <v>0</v>
      </c>
      <c r="Q2766" t="n">
        <v>0</v>
      </c>
      <c r="R2766" s="2" t="inlineStr"/>
    </row>
    <row r="2767" ht="15" customHeight="1">
      <c r="A2767" t="inlineStr">
        <is>
          <t>A 27251-2024</t>
        </is>
      </c>
      <c r="B2767" s="1" t="n">
        <v>45471</v>
      </c>
      <c r="C2767" s="1" t="n">
        <v>45962</v>
      </c>
      <c r="D2767" t="inlineStr">
        <is>
          <t>SKÅNE LÄN</t>
        </is>
      </c>
      <c r="E2767" t="inlineStr">
        <is>
          <t>HÖÖR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56069-2024</t>
        </is>
      </c>
      <c r="B2768" s="1" t="n">
        <v>45624.38006944444</v>
      </c>
      <c r="C2768" s="1" t="n">
        <v>45962</v>
      </c>
      <c r="D2768" t="inlineStr">
        <is>
          <t>SKÅNE LÄN</t>
        </is>
      </c>
      <c r="E2768" t="inlineStr">
        <is>
          <t>HÄSSLEHOLM</t>
        </is>
      </c>
      <c r="F2768" t="inlineStr">
        <is>
          <t>Övriga Aktiebolag</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32984-2024</t>
        </is>
      </c>
      <c r="B2769" s="1" t="n">
        <v>45517</v>
      </c>
      <c r="C2769" s="1" t="n">
        <v>45962</v>
      </c>
      <c r="D2769" t="inlineStr">
        <is>
          <t>SKÅNE LÄN</t>
        </is>
      </c>
      <c r="E2769" t="inlineStr">
        <is>
          <t>ESLÖV</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11105-2025</t>
        </is>
      </c>
      <c r="B2770" s="1" t="n">
        <v>45723</v>
      </c>
      <c r="C2770" s="1" t="n">
        <v>45962</v>
      </c>
      <c r="D2770" t="inlineStr">
        <is>
          <t>SKÅNE LÄN</t>
        </is>
      </c>
      <c r="E2770" t="inlineStr">
        <is>
          <t>KRISTIANSTAD</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11121-2025</t>
        </is>
      </c>
      <c r="B2771" s="1" t="n">
        <v>45723.6369675926</v>
      </c>
      <c r="C2771" s="1" t="n">
        <v>45962</v>
      </c>
      <c r="D2771" t="inlineStr">
        <is>
          <t>SKÅNE LÄN</t>
        </is>
      </c>
      <c r="E2771" t="inlineStr">
        <is>
          <t>ÖRKELLJUNGA</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32990-2024</t>
        </is>
      </c>
      <c r="B2772" s="1" t="n">
        <v>45517</v>
      </c>
      <c r="C2772" s="1" t="n">
        <v>45962</v>
      </c>
      <c r="D2772" t="inlineStr">
        <is>
          <t>SKÅNE LÄN</t>
        </is>
      </c>
      <c r="E2772" t="inlineStr">
        <is>
          <t>KRISTIANSTAD</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1426-2025</t>
        </is>
      </c>
      <c r="B2773" s="1" t="n">
        <v>45668.69042824074</v>
      </c>
      <c r="C2773" s="1" t="n">
        <v>45962</v>
      </c>
      <c r="D2773" t="inlineStr">
        <is>
          <t>SKÅNE LÄN</t>
        </is>
      </c>
      <c r="E2773" t="inlineStr">
        <is>
          <t>KRISTIANSTAD</t>
        </is>
      </c>
      <c r="G2773" t="n">
        <v>4.1</v>
      </c>
      <c r="H2773" t="n">
        <v>0</v>
      </c>
      <c r="I2773" t="n">
        <v>0</v>
      </c>
      <c r="J2773" t="n">
        <v>0</v>
      </c>
      <c r="K2773" t="n">
        <v>0</v>
      </c>
      <c r="L2773" t="n">
        <v>0</v>
      </c>
      <c r="M2773" t="n">
        <v>0</v>
      </c>
      <c r="N2773" t="n">
        <v>0</v>
      </c>
      <c r="O2773" t="n">
        <v>0</v>
      </c>
      <c r="P2773" t="n">
        <v>0</v>
      </c>
      <c r="Q2773" t="n">
        <v>0</v>
      </c>
      <c r="R2773" s="2" t="inlineStr"/>
    </row>
    <row r="2774" ht="15" customHeight="1">
      <c r="A2774" t="inlineStr">
        <is>
          <t>A 3830-2022</t>
        </is>
      </c>
      <c r="B2774" s="1" t="n">
        <v>44587.35361111111</v>
      </c>
      <c r="C2774" s="1" t="n">
        <v>45962</v>
      </c>
      <c r="D2774" t="inlineStr">
        <is>
          <t>SKÅNE LÄN</t>
        </is>
      </c>
      <c r="E2774" t="inlineStr">
        <is>
          <t>ÖRKELLJUNGA</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28736-2024</t>
        </is>
      </c>
      <c r="B2775" s="1" t="n">
        <v>45478.56774305556</v>
      </c>
      <c r="C2775" s="1" t="n">
        <v>45962</v>
      </c>
      <c r="D2775" t="inlineStr">
        <is>
          <t>SKÅNE LÄN</t>
        </is>
      </c>
      <c r="E2775" t="inlineStr">
        <is>
          <t>PERSTORP</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53299-2023</t>
        </is>
      </c>
      <c r="B2776" s="1" t="n">
        <v>45229</v>
      </c>
      <c r="C2776" s="1" t="n">
        <v>45962</v>
      </c>
      <c r="D2776" t="inlineStr">
        <is>
          <t>SKÅNE LÄN</t>
        </is>
      </c>
      <c r="E2776" t="inlineStr">
        <is>
          <t>KRISTIANSTAD</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47231-2023</t>
        </is>
      </c>
      <c r="B2777" s="1" t="n">
        <v>45202</v>
      </c>
      <c r="C2777" s="1" t="n">
        <v>45962</v>
      </c>
      <c r="D2777" t="inlineStr">
        <is>
          <t>SKÅNE LÄN</t>
        </is>
      </c>
      <c r="E2777" t="inlineStr">
        <is>
          <t>TOMELILLA</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15277-2024</t>
        </is>
      </c>
      <c r="B2778" s="1" t="n">
        <v>45400</v>
      </c>
      <c r="C2778" s="1" t="n">
        <v>45962</v>
      </c>
      <c r="D2778" t="inlineStr">
        <is>
          <t>SKÅNE LÄN</t>
        </is>
      </c>
      <c r="E2778" t="inlineStr">
        <is>
          <t>SVEDALA</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38306-2022</t>
        </is>
      </c>
      <c r="B2779" s="1" t="n">
        <v>44812.57515046297</v>
      </c>
      <c r="C2779" s="1" t="n">
        <v>45962</v>
      </c>
      <c r="D2779" t="inlineStr">
        <is>
          <t>SKÅNE LÄN</t>
        </is>
      </c>
      <c r="E2779" t="inlineStr">
        <is>
          <t>HÄSSLEHOLM</t>
        </is>
      </c>
      <c r="G2779" t="n">
        <v>2.2</v>
      </c>
      <c r="H2779" t="n">
        <v>0</v>
      </c>
      <c r="I2779" t="n">
        <v>0</v>
      </c>
      <c r="J2779" t="n">
        <v>0</v>
      </c>
      <c r="K2779" t="n">
        <v>0</v>
      </c>
      <c r="L2779" t="n">
        <v>0</v>
      </c>
      <c r="M2779" t="n">
        <v>0</v>
      </c>
      <c r="N2779" t="n">
        <v>0</v>
      </c>
      <c r="O2779" t="n">
        <v>0</v>
      </c>
      <c r="P2779" t="n">
        <v>0</v>
      </c>
      <c r="Q2779" t="n">
        <v>0</v>
      </c>
      <c r="R2779" s="2" t="inlineStr"/>
    </row>
    <row r="2780" ht="15" customHeight="1">
      <c r="A2780" t="inlineStr">
        <is>
          <t>A 58761-2022</t>
        </is>
      </c>
      <c r="B2780" s="1" t="n">
        <v>44903.36738425926</v>
      </c>
      <c r="C2780" s="1" t="n">
        <v>45962</v>
      </c>
      <c r="D2780" t="inlineStr">
        <is>
          <t>SKÅNE LÄN</t>
        </is>
      </c>
      <c r="E2780" t="inlineStr">
        <is>
          <t>OSBY</t>
        </is>
      </c>
      <c r="F2780" t="inlineStr">
        <is>
          <t>Kommuner</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31400-2025</t>
        </is>
      </c>
      <c r="B2781" s="1" t="n">
        <v>45833</v>
      </c>
      <c r="C2781" s="1" t="n">
        <v>45962</v>
      </c>
      <c r="D2781" t="inlineStr">
        <is>
          <t>SKÅNE LÄN</t>
        </is>
      </c>
      <c r="E2781" t="inlineStr">
        <is>
          <t>KRISTIANSTAD</t>
        </is>
      </c>
      <c r="G2781" t="n">
        <v>8</v>
      </c>
      <c r="H2781" t="n">
        <v>0</v>
      </c>
      <c r="I2781" t="n">
        <v>0</v>
      </c>
      <c r="J2781" t="n">
        <v>0</v>
      </c>
      <c r="K2781" t="n">
        <v>0</v>
      </c>
      <c r="L2781" t="n">
        <v>0</v>
      </c>
      <c r="M2781" t="n">
        <v>0</v>
      </c>
      <c r="N2781" t="n">
        <v>0</v>
      </c>
      <c r="O2781" t="n">
        <v>0</v>
      </c>
      <c r="P2781" t="n">
        <v>0</v>
      </c>
      <c r="Q2781" t="n">
        <v>0</v>
      </c>
      <c r="R2781" s="2" t="inlineStr"/>
    </row>
    <row r="2782" ht="15" customHeight="1">
      <c r="A2782" t="inlineStr">
        <is>
          <t>A 43891-2022</t>
        </is>
      </c>
      <c r="B2782" s="1" t="n">
        <v>44838</v>
      </c>
      <c r="C2782" s="1" t="n">
        <v>45962</v>
      </c>
      <c r="D2782" t="inlineStr">
        <is>
          <t>SKÅNE LÄN</t>
        </is>
      </c>
      <c r="E2782" t="inlineStr">
        <is>
          <t>HÖÖR</t>
        </is>
      </c>
      <c r="G2782" t="n">
        <v>3.5</v>
      </c>
      <c r="H2782" t="n">
        <v>0</v>
      </c>
      <c r="I2782" t="n">
        <v>0</v>
      </c>
      <c r="J2782" t="n">
        <v>0</v>
      </c>
      <c r="K2782" t="n">
        <v>0</v>
      </c>
      <c r="L2782" t="n">
        <v>0</v>
      </c>
      <c r="M2782" t="n">
        <v>0</v>
      </c>
      <c r="N2782" t="n">
        <v>0</v>
      </c>
      <c r="O2782" t="n">
        <v>0</v>
      </c>
      <c r="P2782" t="n">
        <v>0</v>
      </c>
      <c r="Q2782" t="n">
        <v>0</v>
      </c>
      <c r="R2782" s="2" t="inlineStr"/>
    </row>
    <row r="2783" ht="15" customHeight="1">
      <c r="A2783" t="inlineStr">
        <is>
          <t>A 45925-2023</t>
        </is>
      </c>
      <c r="B2783" s="1" t="n">
        <v>45189</v>
      </c>
      <c r="C2783" s="1" t="n">
        <v>45962</v>
      </c>
      <c r="D2783" t="inlineStr">
        <is>
          <t>SKÅNE LÄN</t>
        </is>
      </c>
      <c r="E2783" t="inlineStr">
        <is>
          <t>SJÖBO</t>
        </is>
      </c>
      <c r="F2783" t="inlineStr">
        <is>
          <t>Sveaskog</t>
        </is>
      </c>
      <c r="G2783" t="n">
        <v>4.7</v>
      </c>
      <c r="H2783" t="n">
        <v>0</v>
      </c>
      <c r="I2783" t="n">
        <v>0</v>
      </c>
      <c r="J2783" t="n">
        <v>0</v>
      </c>
      <c r="K2783" t="n">
        <v>0</v>
      </c>
      <c r="L2783" t="n">
        <v>0</v>
      </c>
      <c r="M2783" t="n">
        <v>0</v>
      </c>
      <c r="N2783" t="n">
        <v>0</v>
      </c>
      <c r="O2783" t="n">
        <v>0</v>
      </c>
      <c r="P2783" t="n">
        <v>0</v>
      </c>
      <c r="Q2783" t="n">
        <v>0</v>
      </c>
      <c r="R2783" s="2" t="inlineStr"/>
    </row>
    <row r="2784" ht="15" customHeight="1">
      <c r="A2784" t="inlineStr">
        <is>
          <t>A 45983-2023</t>
        </is>
      </c>
      <c r="B2784" s="1" t="n">
        <v>45196</v>
      </c>
      <c r="C2784" s="1" t="n">
        <v>45962</v>
      </c>
      <c r="D2784" t="inlineStr">
        <is>
          <t>SKÅNE LÄN</t>
        </is>
      </c>
      <c r="E2784" t="inlineStr">
        <is>
          <t>SKURUP</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23747-2025</t>
        </is>
      </c>
      <c r="B2785" s="1" t="n">
        <v>45793.44744212963</v>
      </c>
      <c r="C2785" s="1" t="n">
        <v>45962</v>
      </c>
      <c r="D2785" t="inlineStr">
        <is>
          <t>SKÅNE LÄN</t>
        </is>
      </c>
      <c r="E2785" t="inlineStr">
        <is>
          <t>SVALÖV</t>
        </is>
      </c>
      <c r="G2785" t="n">
        <v>2.6</v>
      </c>
      <c r="H2785" t="n">
        <v>0</v>
      </c>
      <c r="I2785" t="n">
        <v>0</v>
      </c>
      <c r="J2785" t="n">
        <v>0</v>
      </c>
      <c r="K2785" t="n">
        <v>0</v>
      </c>
      <c r="L2785" t="n">
        <v>0</v>
      </c>
      <c r="M2785" t="n">
        <v>0</v>
      </c>
      <c r="N2785" t="n">
        <v>0</v>
      </c>
      <c r="O2785" t="n">
        <v>0</v>
      </c>
      <c r="P2785" t="n">
        <v>0</v>
      </c>
      <c r="Q2785" t="n">
        <v>0</v>
      </c>
      <c r="R2785" s="2" t="inlineStr"/>
    </row>
    <row r="2786" ht="15" customHeight="1">
      <c r="A2786" t="inlineStr">
        <is>
          <t>A 38712-2024</t>
        </is>
      </c>
      <c r="B2786" s="1" t="n">
        <v>45547</v>
      </c>
      <c r="C2786" s="1" t="n">
        <v>45962</v>
      </c>
      <c r="D2786" t="inlineStr">
        <is>
          <t>SKÅNE LÄN</t>
        </is>
      </c>
      <c r="E2786" t="inlineStr">
        <is>
          <t>HÄSSLEHOLM</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4370-2024</t>
        </is>
      </c>
      <c r="B2787" s="1" t="n">
        <v>45326</v>
      </c>
      <c r="C2787" s="1" t="n">
        <v>45962</v>
      </c>
      <c r="D2787" t="inlineStr">
        <is>
          <t>SKÅNE LÄN</t>
        </is>
      </c>
      <c r="E2787" t="inlineStr">
        <is>
          <t>KRISTIANSTAD</t>
        </is>
      </c>
      <c r="G2787" t="n">
        <v>4.8</v>
      </c>
      <c r="H2787" t="n">
        <v>0</v>
      </c>
      <c r="I2787" t="n">
        <v>0</v>
      </c>
      <c r="J2787" t="n">
        <v>0</v>
      </c>
      <c r="K2787" t="n">
        <v>0</v>
      </c>
      <c r="L2787" t="n">
        <v>0</v>
      </c>
      <c r="M2787" t="n">
        <v>0</v>
      </c>
      <c r="N2787" t="n">
        <v>0</v>
      </c>
      <c r="O2787" t="n">
        <v>0</v>
      </c>
      <c r="P2787" t="n">
        <v>0</v>
      </c>
      <c r="Q2787" t="n">
        <v>0</v>
      </c>
      <c r="R2787" s="2" t="inlineStr"/>
    </row>
    <row r="2788" ht="15" customHeight="1">
      <c r="A2788" t="inlineStr">
        <is>
          <t>A 23967-2022</t>
        </is>
      </c>
      <c r="B2788" s="1" t="n">
        <v>44722.74079861111</v>
      </c>
      <c r="C2788" s="1" t="n">
        <v>45962</v>
      </c>
      <c r="D2788" t="inlineStr">
        <is>
          <t>SKÅNE LÄN</t>
        </is>
      </c>
      <c r="E2788" t="inlineStr">
        <is>
          <t>HÄSSLEHOLM</t>
        </is>
      </c>
      <c r="F2788" t="inlineStr">
        <is>
          <t>Kyrkan</t>
        </is>
      </c>
      <c r="G2788" t="n">
        <v>12.4</v>
      </c>
      <c r="H2788" t="n">
        <v>0</v>
      </c>
      <c r="I2788" t="n">
        <v>0</v>
      </c>
      <c r="J2788" t="n">
        <v>0</v>
      </c>
      <c r="K2788" t="n">
        <v>0</v>
      </c>
      <c r="L2788" t="n">
        <v>0</v>
      </c>
      <c r="M2788" t="n">
        <v>0</v>
      </c>
      <c r="N2788" t="n">
        <v>0</v>
      </c>
      <c r="O2788" t="n">
        <v>0</v>
      </c>
      <c r="P2788" t="n">
        <v>0</v>
      </c>
      <c r="Q2788" t="n">
        <v>0</v>
      </c>
      <c r="R2788" s="2" t="inlineStr"/>
    </row>
    <row r="2789" ht="15" customHeight="1">
      <c r="A2789" t="inlineStr">
        <is>
          <t>A 64884-2023</t>
        </is>
      </c>
      <c r="B2789" s="1" t="n">
        <v>45282.57809027778</v>
      </c>
      <c r="C2789" s="1" t="n">
        <v>45962</v>
      </c>
      <c r="D2789" t="inlineStr">
        <is>
          <t>SKÅNE LÄN</t>
        </is>
      </c>
      <c r="E2789" t="inlineStr">
        <is>
          <t>HÄSSLEHOLM</t>
        </is>
      </c>
      <c r="G2789" t="n">
        <v>4.6</v>
      </c>
      <c r="H2789" t="n">
        <v>0</v>
      </c>
      <c r="I2789" t="n">
        <v>0</v>
      </c>
      <c r="J2789" t="n">
        <v>0</v>
      </c>
      <c r="K2789" t="n">
        <v>0</v>
      </c>
      <c r="L2789" t="n">
        <v>0</v>
      </c>
      <c r="M2789" t="n">
        <v>0</v>
      </c>
      <c r="N2789" t="n">
        <v>0</v>
      </c>
      <c r="O2789" t="n">
        <v>0</v>
      </c>
      <c r="P2789" t="n">
        <v>0</v>
      </c>
      <c r="Q2789" t="n">
        <v>0</v>
      </c>
      <c r="R2789" s="2" t="inlineStr"/>
    </row>
    <row r="2790" ht="15" customHeight="1">
      <c r="A2790" t="inlineStr">
        <is>
          <t>A 4383-2024</t>
        </is>
      </c>
      <c r="B2790" s="1" t="n">
        <v>45327</v>
      </c>
      <c r="C2790" s="1" t="n">
        <v>45962</v>
      </c>
      <c r="D2790" t="inlineStr">
        <is>
          <t>SKÅNE LÄN</t>
        </is>
      </c>
      <c r="E2790" t="inlineStr">
        <is>
          <t>ÖSTRA GÖINGE</t>
        </is>
      </c>
      <c r="G2790" t="n">
        <v>2.2</v>
      </c>
      <c r="H2790" t="n">
        <v>0</v>
      </c>
      <c r="I2790" t="n">
        <v>0</v>
      </c>
      <c r="J2790" t="n">
        <v>0</v>
      </c>
      <c r="K2790" t="n">
        <v>0</v>
      </c>
      <c r="L2790" t="n">
        <v>0</v>
      </c>
      <c r="M2790" t="n">
        <v>0</v>
      </c>
      <c r="N2790" t="n">
        <v>0</v>
      </c>
      <c r="O2790" t="n">
        <v>0</v>
      </c>
      <c r="P2790" t="n">
        <v>0</v>
      </c>
      <c r="Q2790" t="n">
        <v>0</v>
      </c>
      <c r="R2790" s="2" t="inlineStr"/>
    </row>
    <row r="2791" ht="15" customHeight="1">
      <c r="A2791" t="inlineStr">
        <is>
          <t>A 23676-2024</t>
        </is>
      </c>
      <c r="B2791" s="1" t="n">
        <v>45454.61513888889</v>
      </c>
      <c r="C2791" s="1" t="n">
        <v>45962</v>
      </c>
      <c r="D2791" t="inlineStr">
        <is>
          <t>SKÅNE LÄN</t>
        </is>
      </c>
      <c r="E2791" t="inlineStr">
        <is>
          <t>ÄNGELHOLM</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18214-2023</t>
        </is>
      </c>
      <c r="B2792" s="1" t="n">
        <v>45040</v>
      </c>
      <c r="C2792" s="1" t="n">
        <v>45962</v>
      </c>
      <c r="D2792" t="inlineStr">
        <is>
          <t>SKÅNE LÄN</t>
        </is>
      </c>
      <c r="E2792" t="inlineStr">
        <is>
          <t>KLIPPAN</t>
        </is>
      </c>
      <c r="G2792" t="n">
        <v>4.8</v>
      </c>
      <c r="H2792" t="n">
        <v>0</v>
      </c>
      <c r="I2792" t="n">
        <v>0</v>
      </c>
      <c r="J2792" t="n">
        <v>0</v>
      </c>
      <c r="K2792" t="n">
        <v>0</v>
      </c>
      <c r="L2792" t="n">
        <v>0</v>
      </c>
      <c r="M2792" t="n">
        <v>0</v>
      </c>
      <c r="N2792" t="n">
        <v>0</v>
      </c>
      <c r="O2792" t="n">
        <v>0</v>
      </c>
      <c r="P2792" t="n">
        <v>0</v>
      </c>
      <c r="Q2792" t="n">
        <v>0</v>
      </c>
      <c r="R2792" s="2" t="inlineStr"/>
    </row>
    <row r="2793" ht="15" customHeight="1">
      <c r="A2793" t="inlineStr">
        <is>
          <t>A 13310-2025</t>
        </is>
      </c>
      <c r="B2793" s="1" t="n">
        <v>45735.58814814815</v>
      </c>
      <c r="C2793" s="1" t="n">
        <v>45962</v>
      </c>
      <c r="D2793" t="inlineStr">
        <is>
          <t>SKÅNE LÄN</t>
        </is>
      </c>
      <c r="E2793" t="inlineStr">
        <is>
          <t>HÄSSLEHOLM</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3205-2025</t>
        </is>
      </c>
      <c r="B2794" s="1" t="n">
        <v>45679</v>
      </c>
      <c r="C2794" s="1" t="n">
        <v>45962</v>
      </c>
      <c r="D2794" t="inlineStr">
        <is>
          <t>SKÅNE LÄN</t>
        </is>
      </c>
      <c r="E2794" t="inlineStr">
        <is>
          <t>ÖRKELLJUNGA</t>
        </is>
      </c>
      <c r="F2794" t="inlineStr">
        <is>
          <t>Kyrkan</t>
        </is>
      </c>
      <c r="G2794" t="n">
        <v>6.7</v>
      </c>
      <c r="H2794" t="n">
        <v>0</v>
      </c>
      <c r="I2794" t="n">
        <v>0</v>
      </c>
      <c r="J2794" t="n">
        <v>0</v>
      </c>
      <c r="K2794" t="n">
        <v>0</v>
      </c>
      <c r="L2794" t="n">
        <v>0</v>
      </c>
      <c r="M2794" t="n">
        <v>0</v>
      </c>
      <c r="N2794" t="n">
        <v>0</v>
      </c>
      <c r="O2794" t="n">
        <v>0</v>
      </c>
      <c r="P2794" t="n">
        <v>0</v>
      </c>
      <c r="Q2794" t="n">
        <v>0</v>
      </c>
      <c r="R2794" s="2" t="inlineStr"/>
    </row>
    <row r="2795" ht="15" customHeight="1">
      <c r="A2795" t="inlineStr">
        <is>
          <t>A 3782-2024</t>
        </is>
      </c>
      <c r="B2795" s="1" t="n">
        <v>45321</v>
      </c>
      <c r="C2795" s="1" t="n">
        <v>45962</v>
      </c>
      <c r="D2795" t="inlineStr">
        <is>
          <t>SKÅNE LÄN</t>
        </is>
      </c>
      <c r="E2795" t="inlineStr">
        <is>
          <t>ÖSTRA GÖINGE</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48112-2024</t>
        </is>
      </c>
      <c r="B2796" s="1" t="n">
        <v>45589.6295949074</v>
      </c>
      <c r="C2796" s="1" t="n">
        <v>45962</v>
      </c>
      <c r="D2796" t="inlineStr">
        <is>
          <t>SKÅNE LÄN</t>
        </is>
      </c>
      <c r="E2796" t="inlineStr">
        <is>
          <t>HÄSSLEHOLM</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37890-2024</t>
        </is>
      </c>
      <c r="B2797" s="1" t="n">
        <v>45544.45065972222</v>
      </c>
      <c r="C2797" s="1" t="n">
        <v>45962</v>
      </c>
      <c r="D2797" t="inlineStr">
        <is>
          <t>SKÅNE LÄN</t>
        </is>
      </c>
      <c r="E2797" t="inlineStr">
        <is>
          <t>PERSTORP</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44885-2022</t>
        </is>
      </c>
      <c r="B2798" s="1" t="n">
        <v>44841</v>
      </c>
      <c r="C2798" s="1" t="n">
        <v>45962</v>
      </c>
      <c r="D2798" t="inlineStr">
        <is>
          <t>SKÅNE LÄN</t>
        </is>
      </c>
      <c r="E2798" t="inlineStr">
        <is>
          <t>KLIPPAN</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61038-2020</t>
        </is>
      </c>
      <c r="B2799" s="1" t="n">
        <v>44154</v>
      </c>
      <c r="C2799" s="1" t="n">
        <v>45962</v>
      </c>
      <c r="D2799" t="inlineStr">
        <is>
          <t>SKÅNE LÄN</t>
        </is>
      </c>
      <c r="E2799" t="inlineStr">
        <is>
          <t>KLIPPAN</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21152-2022</t>
        </is>
      </c>
      <c r="B2800" s="1" t="n">
        <v>44704</v>
      </c>
      <c r="C2800" s="1" t="n">
        <v>45962</v>
      </c>
      <c r="D2800" t="inlineStr">
        <is>
          <t>SKÅNE LÄN</t>
        </is>
      </c>
      <c r="E2800" t="inlineStr">
        <is>
          <t>ÖRKELLJUNGA</t>
        </is>
      </c>
      <c r="G2800" t="n">
        <v>2.8</v>
      </c>
      <c r="H2800" t="n">
        <v>0</v>
      </c>
      <c r="I2800" t="n">
        <v>0</v>
      </c>
      <c r="J2800" t="n">
        <v>0</v>
      </c>
      <c r="K2800" t="n">
        <v>0</v>
      </c>
      <c r="L2800" t="n">
        <v>0</v>
      </c>
      <c r="M2800" t="n">
        <v>0</v>
      </c>
      <c r="N2800" t="n">
        <v>0</v>
      </c>
      <c r="O2800" t="n">
        <v>0</v>
      </c>
      <c r="P2800" t="n">
        <v>0</v>
      </c>
      <c r="Q2800" t="n">
        <v>0</v>
      </c>
      <c r="R2800" s="2" t="inlineStr"/>
    </row>
    <row r="2801" ht="15" customHeight="1">
      <c r="A2801" t="inlineStr">
        <is>
          <t>A 6310-2025</t>
        </is>
      </c>
      <c r="B2801" s="1" t="n">
        <v>45698</v>
      </c>
      <c r="C2801" s="1" t="n">
        <v>45962</v>
      </c>
      <c r="D2801" t="inlineStr">
        <is>
          <t>SKÅNE LÄN</t>
        </is>
      </c>
      <c r="E2801" t="inlineStr">
        <is>
          <t>HÄSSLEHOLM</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32364-2023</t>
        </is>
      </c>
      <c r="B2802" s="1" t="n">
        <v>45120.56152777778</v>
      </c>
      <c r="C2802" s="1" t="n">
        <v>45962</v>
      </c>
      <c r="D2802" t="inlineStr">
        <is>
          <t>SKÅNE LÄN</t>
        </is>
      </c>
      <c r="E2802" t="inlineStr">
        <is>
          <t>ÄNGELHOLM</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10501-2022</t>
        </is>
      </c>
      <c r="B2803" s="1" t="n">
        <v>44623.6662037037</v>
      </c>
      <c r="C2803" s="1" t="n">
        <v>45962</v>
      </c>
      <c r="D2803" t="inlineStr">
        <is>
          <t>SKÅNE LÄN</t>
        </is>
      </c>
      <c r="E2803" t="inlineStr">
        <is>
          <t>ÖSTRA GÖINGE</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60597-2020</t>
        </is>
      </c>
      <c r="B2804" s="1" t="n">
        <v>44152</v>
      </c>
      <c r="C2804" s="1" t="n">
        <v>45962</v>
      </c>
      <c r="D2804" t="inlineStr">
        <is>
          <t>SKÅNE LÄN</t>
        </is>
      </c>
      <c r="E2804" t="inlineStr">
        <is>
          <t>HÄSSLEHOLM</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16429-2023</t>
        </is>
      </c>
      <c r="B2805" s="1" t="n">
        <v>45029</v>
      </c>
      <c r="C2805" s="1" t="n">
        <v>45962</v>
      </c>
      <c r="D2805" t="inlineStr">
        <is>
          <t>SKÅNE LÄN</t>
        </is>
      </c>
      <c r="E2805" t="inlineStr">
        <is>
          <t>SJÖBO</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31389-2021</t>
        </is>
      </c>
      <c r="B2806" s="1" t="n">
        <v>44368</v>
      </c>
      <c r="C2806" s="1" t="n">
        <v>45962</v>
      </c>
      <c r="D2806" t="inlineStr">
        <is>
          <t>SKÅNE LÄN</t>
        </is>
      </c>
      <c r="E2806" t="inlineStr">
        <is>
          <t>ÖSTRA GÖINGE</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16667-2023</t>
        </is>
      </c>
      <c r="B2807" s="1" t="n">
        <v>45030</v>
      </c>
      <c r="C2807" s="1" t="n">
        <v>45962</v>
      </c>
      <c r="D2807" t="inlineStr">
        <is>
          <t>SKÅNE LÄN</t>
        </is>
      </c>
      <c r="E2807" t="inlineStr">
        <is>
          <t>SVALÖV</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16668-2023</t>
        </is>
      </c>
      <c r="B2808" s="1" t="n">
        <v>45030.5625</v>
      </c>
      <c r="C2808" s="1" t="n">
        <v>45962</v>
      </c>
      <c r="D2808" t="inlineStr">
        <is>
          <t>SKÅNE LÄN</t>
        </is>
      </c>
      <c r="E2808" t="inlineStr">
        <is>
          <t>ÖSTRA GÖINGE</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3746-2024</t>
        </is>
      </c>
      <c r="B2809" s="1" t="n">
        <v>45321.50745370371</v>
      </c>
      <c r="C2809" s="1" t="n">
        <v>45962</v>
      </c>
      <c r="D2809" t="inlineStr">
        <is>
          <t>SKÅNE LÄN</t>
        </is>
      </c>
      <c r="E2809" t="inlineStr">
        <is>
          <t>HÄSSLEHOLM</t>
        </is>
      </c>
      <c r="G2809" t="n">
        <v>3.4</v>
      </c>
      <c r="H2809" t="n">
        <v>0</v>
      </c>
      <c r="I2809" t="n">
        <v>0</v>
      </c>
      <c r="J2809" t="n">
        <v>0</v>
      </c>
      <c r="K2809" t="n">
        <v>0</v>
      </c>
      <c r="L2809" t="n">
        <v>0</v>
      </c>
      <c r="M2809" t="n">
        <v>0</v>
      </c>
      <c r="N2809" t="n">
        <v>0</v>
      </c>
      <c r="O2809" t="n">
        <v>0</v>
      </c>
      <c r="P2809" t="n">
        <v>0</v>
      </c>
      <c r="Q2809" t="n">
        <v>0</v>
      </c>
      <c r="R2809" s="2" t="inlineStr"/>
    </row>
    <row r="2810" ht="15" customHeight="1">
      <c r="A2810" t="inlineStr">
        <is>
          <t>A 15487-2025</t>
        </is>
      </c>
      <c r="B2810" s="1" t="n">
        <v>45747</v>
      </c>
      <c r="C2810" s="1" t="n">
        <v>45962</v>
      </c>
      <c r="D2810" t="inlineStr">
        <is>
          <t>SKÅNE LÄN</t>
        </is>
      </c>
      <c r="E2810" t="inlineStr">
        <is>
          <t>SVALÖV</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69504-2020</t>
        </is>
      </c>
      <c r="B2811" s="1" t="n">
        <v>44194</v>
      </c>
      <c r="C2811" s="1" t="n">
        <v>45962</v>
      </c>
      <c r="D2811" t="inlineStr">
        <is>
          <t>SKÅNE LÄN</t>
        </is>
      </c>
      <c r="E2811" t="inlineStr">
        <is>
          <t>HÄSSLEHOLM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1397-2023</t>
        </is>
      </c>
      <c r="B2812" s="1" t="n">
        <v>44936.73979166667</v>
      </c>
      <c r="C2812" s="1" t="n">
        <v>45962</v>
      </c>
      <c r="D2812" t="inlineStr">
        <is>
          <t>SKÅNE LÄN</t>
        </is>
      </c>
      <c r="E2812" t="inlineStr">
        <is>
          <t>ÖRKELLJUNGA</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58130-2022</t>
        </is>
      </c>
      <c r="B2813" s="1" t="n">
        <v>44900</v>
      </c>
      <c r="C2813" s="1" t="n">
        <v>45962</v>
      </c>
      <c r="D2813" t="inlineStr">
        <is>
          <t>SKÅNE LÄN</t>
        </is>
      </c>
      <c r="E2813" t="inlineStr">
        <is>
          <t>ÖRKELLJUNGA</t>
        </is>
      </c>
      <c r="G2813" t="n">
        <v>23.2</v>
      </c>
      <c r="H2813" t="n">
        <v>0</v>
      </c>
      <c r="I2813" t="n">
        <v>0</v>
      </c>
      <c r="J2813" t="n">
        <v>0</v>
      </c>
      <c r="K2813" t="n">
        <v>0</v>
      </c>
      <c r="L2813" t="n">
        <v>0</v>
      </c>
      <c r="M2813" t="n">
        <v>0</v>
      </c>
      <c r="N2813" t="n">
        <v>0</v>
      </c>
      <c r="O2813" t="n">
        <v>0</v>
      </c>
      <c r="P2813" t="n">
        <v>0</v>
      </c>
      <c r="Q2813" t="n">
        <v>0</v>
      </c>
      <c r="R2813" s="2" t="inlineStr"/>
    </row>
    <row r="2814" ht="15" customHeight="1">
      <c r="A2814" t="inlineStr">
        <is>
          <t>A 58134-2022</t>
        </is>
      </c>
      <c r="B2814" s="1" t="n">
        <v>44900.69137731481</v>
      </c>
      <c r="C2814" s="1" t="n">
        <v>45962</v>
      </c>
      <c r="D2814" t="inlineStr">
        <is>
          <t>SKÅNE LÄN</t>
        </is>
      </c>
      <c r="E2814" t="inlineStr">
        <is>
          <t>ÄNGELHOLM</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31404-2025</t>
        </is>
      </c>
      <c r="B2815" s="1" t="n">
        <v>45833</v>
      </c>
      <c r="C2815" s="1" t="n">
        <v>45962</v>
      </c>
      <c r="D2815" t="inlineStr">
        <is>
          <t>SKÅNE LÄN</t>
        </is>
      </c>
      <c r="E2815" t="inlineStr">
        <is>
          <t>BROMÖLLA</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28966-2022</t>
        </is>
      </c>
      <c r="B2816" s="1" t="n">
        <v>44749</v>
      </c>
      <c r="C2816" s="1" t="n">
        <v>45962</v>
      </c>
      <c r="D2816" t="inlineStr">
        <is>
          <t>SKÅNE LÄN</t>
        </is>
      </c>
      <c r="E2816" t="inlineStr">
        <is>
          <t>TOMELILLA</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7739-2024</t>
        </is>
      </c>
      <c r="B2817" s="1" t="n">
        <v>45349.45274305555</v>
      </c>
      <c r="C2817" s="1" t="n">
        <v>45962</v>
      </c>
      <c r="D2817" t="inlineStr">
        <is>
          <t>SKÅNE LÄN</t>
        </is>
      </c>
      <c r="E2817" t="inlineStr">
        <is>
          <t>ÖSTRA GÖINGE</t>
        </is>
      </c>
      <c r="G2817" t="n">
        <v>3.9</v>
      </c>
      <c r="H2817" t="n">
        <v>0</v>
      </c>
      <c r="I2817" t="n">
        <v>0</v>
      </c>
      <c r="J2817" t="n">
        <v>0</v>
      </c>
      <c r="K2817" t="n">
        <v>0</v>
      </c>
      <c r="L2817" t="n">
        <v>0</v>
      </c>
      <c r="M2817" t="n">
        <v>0</v>
      </c>
      <c r="N2817" t="n">
        <v>0</v>
      </c>
      <c r="O2817" t="n">
        <v>0</v>
      </c>
      <c r="P2817" t="n">
        <v>0</v>
      </c>
      <c r="Q2817" t="n">
        <v>0</v>
      </c>
      <c r="R2817" s="2" t="inlineStr"/>
    </row>
    <row r="2818" ht="15" customHeight="1">
      <c r="A2818" t="inlineStr">
        <is>
          <t>A 16565-2024</t>
        </is>
      </c>
      <c r="B2818" s="1" t="n">
        <v>45408</v>
      </c>
      <c r="C2818" s="1" t="n">
        <v>45962</v>
      </c>
      <c r="D2818" t="inlineStr">
        <is>
          <t>SKÅNE LÄN</t>
        </is>
      </c>
      <c r="E2818" t="inlineStr">
        <is>
          <t>KRISTIANSTAD</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16568-2024</t>
        </is>
      </c>
      <c r="B2819" s="1" t="n">
        <v>45408</v>
      </c>
      <c r="C2819" s="1" t="n">
        <v>45962</v>
      </c>
      <c r="D2819" t="inlineStr">
        <is>
          <t>SKÅNE LÄN</t>
        </is>
      </c>
      <c r="E2819" t="inlineStr">
        <is>
          <t>TOMELILLA</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30749-2024</t>
        </is>
      </c>
      <c r="B2820" s="1" t="n">
        <v>45496</v>
      </c>
      <c r="C2820" s="1" t="n">
        <v>45962</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57649-2022</t>
        </is>
      </c>
      <c r="B2821" s="1" t="n">
        <v>44897.42755787037</v>
      </c>
      <c r="C2821" s="1" t="n">
        <v>45962</v>
      </c>
      <c r="D2821" t="inlineStr">
        <is>
          <t>SKÅNE LÄN</t>
        </is>
      </c>
      <c r="E2821" t="inlineStr">
        <is>
          <t>HÄSSLEHOLM</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23469-2025</t>
        </is>
      </c>
      <c r="B2822" s="1" t="n">
        <v>45792.43915509259</v>
      </c>
      <c r="C2822" s="1" t="n">
        <v>45962</v>
      </c>
      <c r="D2822" t="inlineStr">
        <is>
          <t>SKÅNE LÄN</t>
        </is>
      </c>
      <c r="E2822" t="inlineStr">
        <is>
          <t>ÖRKELLJUNGA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23767-2025</t>
        </is>
      </c>
      <c r="B2823" s="1" t="n">
        <v>45793.47238425926</v>
      </c>
      <c r="C2823" s="1" t="n">
        <v>45962</v>
      </c>
      <c r="D2823" t="inlineStr">
        <is>
          <t>SKÅNE LÄN</t>
        </is>
      </c>
      <c r="E2823" t="inlineStr">
        <is>
          <t>ESLÖV</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23773-2025</t>
        </is>
      </c>
      <c r="B2824" s="1" t="n">
        <v>45793.48923611111</v>
      </c>
      <c r="C2824" s="1" t="n">
        <v>45962</v>
      </c>
      <c r="D2824" t="inlineStr">
        <is>
          <t>SKÅNE LÄN</t>
        </is>
      </c>
      <c r="E2824" t="inlineStr">
        <is>
          <t>ESLÖV</t>
        </is>
      </c>
      <c r="G2824" t="n">
        <v>4.9</v>
      </c>
      <c r="H2824" t="n">
        <v>0</v>
      </c>
      <c r="I2824" t="n">
        <v>0</v>
      </c>
      <c r="J2824" t="n">
        <v>0</v>
      </c>
      <c r="K2824" t="n">
        <v>0</v>
      </c>
      <c r="L2824" t="n">
        <v>0</v>
      </c>
      <c r="M2824" t="n">
        <v>0</v>
      </c>
      <c r="N2824" t="n">
        <v>0</v>
      </c>
      <c r="O2824" t="n">
        <v>0</v>
      </c>
      <c r="P2824" t="n">
        <v>0</v>
      </c>
      <c r="Q2824" t="n">
        <v>0</v>
      </c>
      <c r="R2824" s="2" t="inlineStr"/>
    </row>
    <row r="2825" ht="15" customHeight="1">
      <c r="A2825" t="inlineStr">
        <is>
          <t>A 57665-2022</t>
        </is>
      </c>
      <c r="B2825" s="1" t="n">
        <v>44897.4494212963</v>
      </c>
      <c r="C2825" s="1" t="n">
        <v>45962</v>
      </c>
      <c r="D2825" t="inlineStr">
        <is>
          <t>SKÅNE LÄN</t>
        </is>
      </c>
      <c r="E2825" t="inlineStr">
        <is>
          <t>HÄSSLEHOLM</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57676-2022</t>
        </is>
      </c>
      <c r="B2826" s="1" t="n">
        <v>44897</v>
      </c>
      <c r="C2826" s="1" t="n">
        <v>45962</v>
      </c>
      <c r="D2826" t="inlineStr">
        <is>
          <t>SKÅNE LÄN</t>
        </is>
      </c>
      <c r="E2826" t="inlineStr">
        <is>
          <t>HÄSSLEHOLM</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6137-2024</t>
        </is>
      </c>
      <c r="B2827" s="1" t="n">
        <v>45337</v>
      </c>
      <c r="C2827" s="1" t="n">
        <v>45962</v>
      </c>
      <c r="D2827" t="inlineStr">
        <is>
          <t>SKÅNE LÄN</t>
        </is>
      </c>
      <c r="E2827" t="inlineStr">
        <is>
          <t>ÖRKELLJUNGA</t>
        </is>
      </c>
      <c r="G2827" t="n">
        <v>11.7</v>
      </c>
      <c r="H2827" t="n">
        <v>0</v>
      </c>
      <c r="I2827" t="n">
        <v>0</v>
      </c>
      <c r="J2827" t="n">
        <v>0</v>
      </c>
      <c r="K2827" t="n">
        <v>0</v>
      </c>
      <c r="L2827" t="n">
        <v>0</v>
      </c>
      <c r="M2827" t="n">
        <v>0</v>
      </c>
      <c r="N2827" t="n">
        <v>0</v>
      </c>
      <c r="O2827" t="n">
        <v>0</v>
      </c>
      <c r="P2827" t="n">
        <v>0</v>
      </c>
      <c r="Q2827" t="n">
        <v>0</v>
      </c>
      <c r="R2827" s="2" t="inlineStr"/>
    </row>
    <row r="2828" ht="15" customHeight="1">
      <c r="A2828" t="inlineStr">
        <is>
          <t>A 14145-2023</t>
        </is>
      </c>
      <c r="B2828" s="1" t="n">
        <v>45009</v>
      </c>
      <c r="C2828" s="1" t="n">
        <v>45962</v>
      </c>
      <c r="D2828" t="inlineStr">
        <is>
          <t>SKÅNE LÄN</t>
        </is>
      </c>
      <c r="E2828" t="inlineStr">
        <is>
          <t>HÄSSLEHOLM</t>
        </is>
      </c>
      <c r="G2828" t="n">
        <v>0.5</v>
      </c>
      <c r="H2828" t="n">
        <v>0</v>
      </c>
      <c r="I2828" t="n">
        <v>0</v>
      </c>
      <c r="J2828" t="n">
        <v>0</v>
      </c>
      <c r="K2828" t="n">
        <v>0</v>
      </c>
      <c r="L2828" t="n">
        <v>0</v>
      </c>
      <c r="M2828" t="n">
        <v>0</v>
      </c>
      <c r="N2828" t="n">
        <v>0</v>
      </c>
      <c r="O2828" t="n">
        <v>0</v>
      </c>
      <c r="P2828" t="n">
        <v>0</v>
      </c>
      <c r="Q2828" t="n">
        <v>0</v>
      </c>
      <c r="R2828" s="2" t="inlineStr"/>
    </row>
    <row r="2829" ht="15" customHeight="1">
      <c r="A2829" t="inlineStr">
        <is>
          <t>A 43380-2022</t>
        </is>
      </c>
      <c r="B2829" s="1" t="n">
        <v>44834.65802083333</v>
      </c>
      <c r="C2829" s="1" t="n">
        <v>45962</v>
      </c>
      <c r="D2829" t="inlineStr">
        <is>
          <t>SKÅNE LÄN</t>
        </is>
      </c>
      <c r="E2829" t="inlineStr">
        <is>
          <t>HÖRBY</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9277-2025</t>
        </is>
      </c>
      <c r="B2830" s="1" t="n">
        <v>45714.63053240741</v>
      </c>
      <c r="C2830" s="1" t="n">
        <v>45962</v>
      </c>
      <c r="D2830" t="inlineStr">
        <is>
          <t>SKÅNE LÄN</t>
        </is>
      </c>
      <c r="E2830" t="inlineStr">
        <is>
          <t>SVEDALA</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9537-2023</t>
        </is>
      </c>
      <c r="B2831" s="1" t="n">
        <v>44981</v>
      </c>
      <c r="C2831" s="1" t="n">
        <v>45962</v>
      </c>
      <c r="D2831" t="inlineStr">
        <is>
          <t>SKÅNE LÄN</t>
        </is>
      </c>
      <c r="E2831" t="inlineStr">
        <is>
          <t>ÖSTRA GÖINGE</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8244-2023</t>
        </is>
      </c>
      <c r="B2832" s="1" t="n">
        <v>44974</v>
      </c>
      <c r="C2832" s="1" t="n">
        <v>45962</v>
      </c>
      <c r="D2832" t="inlineStr">
        <is>
          <t>SKÅNE LÄN</t>
        </is>
      </c>
      <c r="E2832" t="inlineStr">
        <is>
          <t>HÄSSLEHOLM</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8246-2023</t>
        </is>
      </c>
      <c r="B2833" s="1" t="n">
        <v>44974</v>
      </c>
      <c r="C2833" s="1" t="n">
        <v>45962</v>
      </c>
      <c r="D2833" t="inlineStr">
        <is>
          <t>SKÅNE LÄN</t>
        </is>
      </c>
      <c r="E2833" t="inlineStr">
        <is>
          <t>HÄSSLEHOLM</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4209-2025</t>
        </is>
      </c>
      <c r="B2834" s="1" t="n">
        <v>45685</v>
      </c>
      <c r="C2834" s="1" t="n">
        <v>45962</v>
      </c>
      <c r="D2834" t="inlineStr">
        <is>
          <t>SKÅNE LÄN</t>
        </is>
      </c>
      <c r="E2834" t="inlineStr">
        <is>
          <t>OSBY</t>
        </is>
      </c>
      <c r="G2834" t="n">
        <v>7.8</v>
      </c>
      <c r="H2834" t="n">
        <v>0</v>
      </c>
      <c r="I2834" t="n">
        <v>0</v>
      </c>
      <c r="J2834" t="n">
        <v>0</v>
      </c>
      <c r="K2834" t="n">
        <v>0</v>
      </c>
      <c r="L2834" t="n">
        <v>0</v>
      </c>
      <c r="M2834" t="n">
        <v>0</v>
      </c>
      <c r="N2834" t="n">
        <v>0</v>
      </c>
      <c r="O2834" t="n">
        <v>0</v>
      </c>
      <c r="P2834" t="n">
        <v>0</v>
      </c>
      <c r="Q2834" t="n">
        <v>0</v>
      </c>
      <c r="R2834" s="2" t="inlineStr"/>
    </row>
    <row r="2835" ht="15" customHeight="1">
      <c r="A2835" t="inlineStr">
        <is>
          <t>A 30893-2024</t>
        </is>
      </c>
      <c r="B2835" s="1" t="n">
        <v>45498</v>
      </c>
      <c r="C2835" s="1" t="n">
        <v>45962</v>
      </c>
      <c r="D2835" t="inlineStr">
        <is>
          <t>SKÅNE LÄN</t>
        </is>
      </c>
      <c r="E2835" t="inlineStr">
        <is>
          <t>KRISTIANSTAD</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24976-2024</t>
        </is>
      </c>
      <c r="B2836" s="1" t="n">
        <v>45461.66430555555</v>
      </c>
      <c r="C2836" s="1" t="n">
        <v>45962</v>
      </c>
      <c r="D2836" t="inlineStr">
        <is>
          <t>SKÅNE LÄN</t>
        </is>
      </c>
      <c r="E2836" t="inlineStr">
        <is>
          <t>ÖSTRA GÖINGE</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48921-2024</t>
        </is>
      </c>
      <c r="B2837" s="1" t="n">
        <v>45594</v>
      </c>
      <c r="C2837" s="1" t="n">
        <v>45962</v>
      </c>
      <c r="D2837" t="inlineStr">
        <is>
          <t>SKÅNE LÄN</t>
        </is>
      </c>
      <c r="E2837" t="inlineStr">
        <is>
          <t>HÖÖR</t>
        </is>
      </c>
      <c r="G2837" t="n">
        <v>6.3</v>
      </c>
      <c r="H2837" t="n">
        <v>0</v>
      </c>
      <c r="I2837" t="n">
        <v>0</v>
      </c>
      <c r="J2837" t="n">
        <v>0</v>
      </c>
      <c r="K2837" t="n">
        <v>0</v>
      </c>
      <c r="L2837" t="n">
        <v>0</v>
      </c>
      <c r="M2837" t="n">
        <v>0</v>
      </c>
      <c r="N2837" t="n">
        <v>0</v>
      </c>
      <c r="O2837" t="n">
        <v>0</v>
      </c>
      <c r="P2837" t="n">
        <v>0</v>
      </c>
      <c r="Q2837" t="n">
        <v>0</v>
      </c>
      <c r="R2837" s="2" t="inlineStr"/>
    </row>
    <row r="2838" ht="15" customHeight="1">
      <c r="A2838" t="inlineStr">
        <is>
          <t>A 12584-2025</t>
        </is>
      </c>
      <c r="B2838" s="1" t="n">
        <v>45732</v>
      </c>
      <c r="C2838" s="1" t="n">
        <v>45962</v>
      </c>
      <c r="D2838" t="inlineStr">
        <is>
          <t>SKÅNE LÄN</t>
        </is>
      </c>
      <c r="E2838" t="inlineStr">
        <is>
          <t>HÄSSLEHOLM</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4486-2024</t>
        </is>
      </c>
      <c r="B2839" s="1" t="n">
        <v>45327</v>
      </c>
      <c r="C2839" s="1" t="n">
        <v>45962</v>
      </c>
      <c r="D2839" t="inlineStr">
        <is>
          <t>SKÅNE LÄN</t>
        </is>
      </c>
      <c r="E2839" t="inlineStr">
        <is>
          <t>BÅSTAD</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44378-2024</t>
        </is>
      </c>
      <c r="B2840" s="1" t="n">
        <v>45573</v>
      </c>
      <c r="C2840" s="1" t="n">
        <v>45962</v>
      </c>
      <c r="D2840" t="inlineStr">
        <is>
          <t>SKÅNE LÄN</t>
        </is>
      </c>
      <c r="E2840" t="inlineStr">
        <is>
          <t>KRISTIANSTAD</t>
        </is>
      </c>
      <c r="G2840" t="n">
        <v>4.2</v>
      </c>
      <c r="H2840" t="n">
        <v>0</v>
      </c>
      <c r="I2840" t="n">
        <v>0</v>
      </c>
      <c r="J2840" t="n">
        <v>0</v>
      </c>
      <c r="K2840" t="n">
        <v>0</v>
      </c>
      <c r="L2840" t="n">
        <v>0</v>
      </c>
      <c r="M2840" t="n">
        <v>0</v>
      </c>
      <c r="N2840" t="n">
        <v>0</v>
      </c>
      <c r="O2840" t="n">
        <v>0</v>
      </c>
      <c r="P2840" t="n">
        <v>0</v>
      </c>
      <c r="Q2840" t="n">
        <v>0</v>
      </c>
      <c r="R2840" s="2" t="inlineStr"/>
    </row>
    <row r="2841" ht="15" customHeight="1">
      <c r="A2841" t="inlineStr">
        <is>
          <t>A 23497-2024</t>
        </is>
      </c>
      <c r="B2841" s="1" t="n">
        <v>45453</v>
      </c>
      <c r="C2841" s="1" t="n">
        <v>45962</v>
      </c>
      <c r="D2841" t="inlineStr">
        <is>
          <t>SKÅNE LÄN</t>
        </is>
      </c>
      <c r="E2841" t="inlineStr">
        <is>
          <t>KRISTIANSTAD</t>
        </is>
      </c>
      <c r="F2841" t="inlineStr">
        <is>
          <t>Sveaskog</t>
        </is>
      </c>
      <c r="G2841" t="n">
        <v>3.9</v>
      </c>
      <c r="H2841" t="n">
        <v>0</v>
      </c>
      <c r="I2841" t="n">
        <v>0</v>
      </c>
      <c r="J2841" t="n">
        <v>0</v>
      </c>
      <c r="K2841" t="n">
        <v>0</v>
      </c>
      <c r="L2841" t="n">
        <v>0</v>
      </c>
      <c r="M2841" t="n">
        <v>0</v>
      </c>
      <c r="N2841" t="n">
        <v>0</v>
      </c>
      <c r="O2841" t="n">
        <v>0</v>
      </c>
      <c r="P2841" t="n">
        <v>0</v>
      </c>
      <c r="Q2841" t="n">
        <v>0</v>
      </c>
      <c r="R2841" s="2" t="inlineStr"/>
    </row>
    <row r="2842" ht="15" customHeight="1">
      <c r="A2842" t="inlineStr">
        <is>
          <t>A 16474-2025</t>
        </is>
      </c>
      <c r="B2842" s="1" t="n">
        <v>45751.56834490741</v>
      </c>
      <c r="C2842" s="1" t="n">
        <v>45962</v>
      </c>
      <c r="D2842" t="inlineStr">
        <is>
          <t>SKÅNE LÄN</t>
        </is>
      </c>
      <c r="E2842" t="inlineStr">
        <is>
          <t>HÄSSLEHOLM</t>
        </is>
      </c>
      <c r="G2842" t="n">
        <v>5.9</v>
      </c>
      <c r="H2842" t="n">
        <v>0</v>
      </c>
      <c r="I2842" t="n">
        <v>0</v>
      </c>
      <c r="J2842" t="n">
        <v>0</v>
      </c>
      <c r="K2842" t="n">
        <v>0</v>
      </c>
      <c r="L2842" t="n">
        <v>0</v>
      </c>
      <c r="M2842" t="n">
        <v>0</v>
      </c>
      <c r="N2842" t="n">
        <v>0</v>
      </c>
      <c r="O2842" t="n">
        <v>0</v>
      </c>
      <c r="P2842" t="n">
        <v>0</v>
      </c>
      <c r="Q2842" t="n">
        <v>0</v>
      </c>
      <c r="R2842" s="2" t="inlineStr"/>
    </row>
    <row r="2843" ht="15" customHeight="1">
      <c r="A2843" t="inlineStr">
        <is>
          <t>A 25606-2024</t>
        </is>
      </c>
      <c r="B2843" s="1" t="n">
        <v>45463.63179398148</v>
      </c>
      <c r="C2843" s="1" t="n">
        <v>45962</v>
      </c>
      <c r="D2843" t="inlineStr">
        <is>
          <t>SKÅNE LÄN</t>
        </is>
      </c>
      <c r="E2843" t="inlineStr">
        <is>
          <t>HÄSSLEHOLM</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32015-2023</t>
        </is>
      </c>
      <c r="B2844" s="1" t="n">
        <v>45119.4802662037</v>
      </c>
      <c r="C2844" s="1" t="n">
        <v>45962</v>
      </c>
      <c r="D2844" t="inlineStr">
        <is>
          <t>SKÅNE LÄN</t>
        </is>
      </c>
      <c r="E2844" t="inlineStr">
        <is>
          <t>KRISTIANSTAD</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17723-2023</t>
        </is>
      </c>
      <c r="B2845" s="1" t="n">
        <v>45037</v>
      </c>
      <c r="C2845" s="1" t="n">
        <v>45962</v>
      </c>
      <c r="D2845" t="inlineStr">
        <is>
          <t>SKÅNE LÄN</t>
        </is>
      </c>
      <c r="E2845" t="inlineStr">
        <is>
          <t>HÖÖR</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57461-2022</t>
        </is>
      </c>
      <c r="B2846" s="1" t="n">
        <v>44896</v>
      </c>
      <c r="C2846" s="1" t="n">
        <v>45962</v>
      </c>
      <c r="D2846" t="inlineStr">
        <is>
          <t>SKÅNE LÄN</t>
        </is>
      </c>
      <c r="E2846" t="inlineStr">
        <is>
          <t>HÖÖR</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42715-2023</t>
        </is>
      </c>
      <c r="B2847" s="1" t="n">
        <v>45176</v>
      </c>
      <c r="C2847" s="1" t="n">
        <v>45962</v>
      </c>
      <c r="D2847" t="inlineStr">
        <is>
          <t>SKÅNE LÄN</t>
        </is>
      </c>
      <c r="E2847" t="inlineStr">
        <is>
          <t>HÖRBY</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36324-2022</t>
        </is>
      </c>
      <c r="B2848" s="1" t="n">
        <v>44803</v>
      </c>
      <c r="C2848" s="1" t="n">
        <v>45962</v>
      </c>
      <c r="D2848" t="inlineStr">
        <is>
          <t>SKÅNE LÄN</t>
        </is>
      </c>
      <c r="E2848" t="inlineStr">
        <is>
          <t>ÖSTRA GÖINGE</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7681-2025</t>
        </is>
      </c>
      <c r="B2849" s="1" t="n">
        <v>45706.36758101852</v>
      </c>
      <c r="C2849" s="1" t="n">
        <v>45962</v>
      </c>
      <c r="D2849" t="inlineStr">
        <is>
          <t>SKÅNE LÄN</t>
        </is>
      </c>
      <c r="E2849" t="inlineStr">
        <is>
          <t>HÄSSLEHOLM</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4677-2023</t>
        </is>
      </c>
      <c r="B2850" s="1" t="n">
        <v>44952</v>
      </c>
      <c r="C2850" s="1" t="n">
        <v>45962</v>
      </c>
      <c r="D2850" t="inlineStr">
        <is>
          <t>SKÅNE LÄN</t>
        </is>
      </c>
      <c r="E2850" t="inlineStr">
        <is>
          <t>TOMELILLA</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48097-2024</t>
        </is>
      </c>
      <c r="B2851" s="1" t="n">
        <v>45589.61413194444</v>
      </c>
      <c r="C2851" s="1" t="n">
        <v>45962</v>
      </c>
      <c r="D2851" t="inlineStr">
        <is>
          <t>SKÅNE LÄN</t>
        </is>
      </c>
      <c r="E2851" t="inlineStr">
        <is>
          <t>HÄSSLEHOLM</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24547-2022</t>
        </is>
      </c>
      <c r="B2852" s="1" t="n">
        <v>44727</v>
      </c>
      <c r="C2852" s="1" t="n">
        <v>45962</v>
      </c>
      <c r="D2852" t="inlineStr">
        <is>
          <t>SKÅNE LÄN</t>
        </is>
      </c>
      <c r="E2852" t="inlineStr">
        <is>
          <t>ÖSTRA GÖINGE</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20202-2022</t>
        </is>
      </c>
      <c r="B2853" s="1" t="n">
        <v>44698</v>
      </c>
      <c r="C2853" s="1" t="n">
        <v>45962</v>
      </c>
      <c r="D2853" t="inlineStr">
        <is>
          <t>SKÅNE LÄN</t>
        </is>
      </c>
      <c r="E2853" t="inlineStr">
        <is>
          <t>BJUV</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24032-2025</t>
        </is>
      </c>
      <c r="B2854" s="1" t="n">
        <v>45796.478125</v>
      </c>
      <c r="C2854" s="1" t="n">
        <v>45962</v>
      </c>
      <c r="D2854" t="inlineStr">
        <is>
          <t>SKÅNE LÄN</t>
        </is>
      </c>
      <c r="E2854" t="inlineStr">
        <is>
          <t>HÄSSLEHOLM</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6596-2021</t>
        </is>
      </c>
      <c r="B2855" s="1" t="n">
        <v>44236</v>
      </c>
      <c r="C2855" s="1" t="n">
        <v>45962</v>
      </c>
      <c r="D2855" t="inlineStr">
        <is>
          <t>SKÅNE LÄN</t>
        </is>
      </c>
      <c r="E2855" t="inlineStr">
        <is>
          <t>HÄSSLEHOLM</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38329-2023</t>
        </is>
      </c>
      <c r="B2856" s="1" t="n">
        <v>45161.7861574074</v>
      </c>
      <c r="C2856" s="1" t="n">
        <v>45962</v>
      </c>
      <c r="D2856" t="inlineStr">
        <is>
          <t>SKÅNE LÄN</t>
        </is>
      </c>
      <c r="E2856" t="inlineStr">
        <is>
          <t>PERSTORP</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45348-2024</t>
        </is>
      </c>
      <c r="B2857" s="1" t="n">
        <v>45576.47644675926</v>
      </c>
      <c r="C2857" s="1" t="n">
        <v>45962</v>
      </c>
      <c r="D2857" t="inlineStr">
        <is>
          <t>SKÅNE LÄN</t>
        </is>
      </c>
      <c r="E2857" t="inlineStr">
        <is>
          <t>SJÖBO</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24285-2025</t>
        </is>
      </c>
      <c r="B2858" s="1" t="n">
        <v>45797.4594212963</v>
      </c>
      <c r="C2858" s="1" t="n">
        <v>45962</v>
      </c>
      <c r="D2858" t="inlineStr">
        <is>
          <t>SKÅNE LÄN</t>
        </is>
      </c>
      <c r="E2858" t="inlineStr">
        <is>
          <t>ÖSTRA GÖINGE</t>
        </is>
      </c>
      <c r="F2858" t="inlineStr">
        <is>
          <t>Sveaskog</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55682-2023</t>
        </is>
      </c>
      <c r="B2859" s="1" t="n">
        <v>45239.34430555555</v>
      </c>
      <c r="C2859" s="1" t="n">
        <v>45962</v>
      </c>
      <c r="D2859" t="inlineStr">
        <is>
          <t>SKÅNE LÄN</t>
        </is>
      </c>
      <c r="E2859" t="inlineStr">
        <is>
          <t>OSBY</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60846-2022</t>
        </is>
      </c>
      <c r="B2860" s="1" t="n">
        <v>44914</v>
      </c>
      <c r="C2860" s="1" t="n">
        <v>45962</v>
      </c>
      <c r="D2860" t="inlineStr">
        <is>
          <t>SKÅNE LÄN</t>
        </is>
      </c>
      <c r="E2860" t="inlineStr">
        <is>
          <t>HÄSSLEHOLM</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42776-2021</t>
        </is>
      </c>
      <c r="B2861" s="1" t="n">
        <v>44428</v>
      </c>
      <c r="C2861" s="1" t="n">
        <v>45962</v>
      </c>
      <c r="D2861" t="inlineStr">
        <is>
          <t>SKÅNE LÄN</t>
        </is>
      </c>
      <c r="E2861" t="inlineStr">
        <is>
          <t>HÄSSLEHOLM</t>
        </is>
      </c>
      <c r="G2861" t="n">
        <v>3.2</v>
      </c>
      <c r="H2861" t="n">
        <v>0</v>
      </c>
      <c r="I2861" t="n">
        <v>0</v>
      </c>
      <c r="J2861" t="n">
        <v>0</v>
      </c>
      <c r="K2861" t="n">
        <v>0</v>
      </c>
      <c r="L2861" t="n">
        <v>0</v>
      </c>
      <c r="M2861" t="n">
        <v>0</v>
      </c>
      <c r="N2861" t="n">
        <v>0</v>
      </c>
      <c r="O2861" t="n">
        <v>0</v>
      </c>
      <c r="P2861" t="n">
        <v>0</v>
      </c>
      <c r="Q2861" t="n">
        <v>0</v>
      </c>
      <c r="R2861" s="2" t="inlineStr"/>
    </row>
    <row r="2862" ht="15" customHeight="1">
      <c r="A2862" t="inlineStr">
        <is>
          <t>A 65097-2021</t>
        </is>
      </c>
      <c r="B2862" s="1" t="n">
        <v>44513</v>
      </c>
      <c r="C2862" s="1" t="n">
        <v>45962</v>
      </c>
      <c r="D2862" t="inlineStr">
        <is>
          <t>SKÅNE LÄN</t>
        </is>
      </c>
      <c r="E2862" t="inlineStr">
        <is>
          <t>KRISTIANSTAD</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44043-2023</t>
        </is>
      </c>
      <c r="B2863" s="1" t="n">
        <v>45188.38028935185</v>
      </c>
      <c r="C2863" s="1" t="n">
        <v>45962</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17760-2025</t>
        </is>
      </c>
      <c r="B2864" s="1" t="n">
        <v>45758</v>
      </c>
      <c r="C2864" s="1" t="n">
        <v>45962</v>
      </c>
      <c r="D2864" t="inlineStr">
        <is>
          <t>SKÅNE LÄN</t>
        </is>
      </c>
      <c r="E2864" t="inlineStr">
        <is>
          <t>TOMELILLA</t>
        </is>
      </c>
      <c r="G2864" t="n">
        <v>3.7</v>
      </c>
      <c r="H2864" t="n">
        <v>0</v>
      </c>
      <c r="I2864" t="n">
        <v>0</v>
      </c>
      <c r="J2864" t="n">
        <v>0</v>
      </c>
      <c r="K2864" t="n">
        <v>0</v>
      </c>
      <c r="L2864" t="n">
        <v>0</v>
      </c>
      <c r="M2864" t="n">
        <v>0</v>
      </c>
      <c r="N2864" t="n">
        <v>0</v>
      </c>
      <c r="O2864" t="n">
        <v>0</v>
      </c>
      <c r="P2864" t="n">
        <v>0</v>
      </c>
      <c r="Q2864" t="n">
        <v>0</v>
      </c>
      <c r="R2864" s="2" t="inlineStr"/>
    </row>
    <row r="2865" ht="15" customHeight="1">
      <c r="A2865" t="inlineStr">
        <is>
          <t>A 60789-2024</t>
        </is>
      </c>
      <c r="B2865" s="1" t="n">
        <v>45644</v>
      </c>
      <c r="C2865" s="1" t="n">
        <v>45962</v>
      </c>
      <c r="D2865" t="inlineStr">
        <is>
          <t>SKÅNE LÄN</t>
        </is>
      </c>
      <c r="E2865" t="inlineStr">
        <is>
          <t>HÄSSLEHOLM</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28918-2023</t>
        </is>
      </c>
      <c r="B2866" s="1" t="n">
        <v>45104</v>
      </c>
      <c r="C2866" s="1" t="n">
        <v>45962</v>
      </c>
      <c r="D2866" t="inlineStr">
        <is>
          <t>SKÅNE LÄN</t>
        </is>
      </c>
      <c r="E2866" t="inlineStr">
        <is>
          <t>HÖRBY</t>
        </is>
      </c>
      <c r="G2866" t="n">
        <v>2</v>
      </c>
      <c r="H2866" t="n">
        <v>0</v>
      </c>
      <c r="I2866" t="n">
        <v>0</v>
      </c>
      <c r="J2866" t="n">
        <v>0</v>
      </c>
      <c r="K2866" t="n">
        <v>0</v>
      </c>
      <c r="L2866" t="n">
        <v>0</v>
      </c>
      <c r="M2866" t="n">
        <v>0</v>
      </c>
      <c r="N2866" t="n">
        <v>0</v>
      </c>
      <c r="O2866" t="n">
        <v>0</v>
      </c>
      <c r="P2866" t="n">
        <v>0</v>
      </c>
      <c r="Q2866" t="n">
        <v>0</v>
      </c>
      <c r="R2866" s="2" t="inlineStr"/>
    </row>
    <row r="2867" ht="15" customHeight="1">
      <c r="A2867" t="inlineStr">
        <is>
          <t>A 28919-2023</t>
        </is>
      </c>
      <c r="B2867" s="1" t="n">
        <v>45104</v>
      </c>
      <c r="C2867" s="1" t="n">
        <v>45962</v>
      </c>
      <c r="D2867" t="inlineStr">
        <is>
          <t>SKÅNE LÄN</t>
        </is>
      </c>
      <c r="E2867" t="inlineStr">
        <is>
          <t>SJÖBO</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9794-2023</t>
        </is>
      </c>
      <c r="B2868" s="1" t="n">
        <v>44984</v>
      </c>
      <c r="C2868" s="1" t="n">
        <v>45962</v>
      </c>
      <c r="D2868" t="inlineStr">
        <is>
          <t>SKÅNE LÄN</t>
        </is>
      </c>
      <c r="E2868" t="inlineStr">
        <is>
          <t>KRISTIANSTAD</t>
        </is>
      </c>
      <c r="G2868" t="n">
        <v>3.6</v>
      </c>
      <c r="H2868" t="n">
        <v>0</v>
      </c>
      <c r="I2868" t="n">
        <v>0</v>
      </c>
      <c r="J2868" t="n">
        <v>0</v>
      </c>
      <c r="K2868" t="n">
        <v>0</v>
      </c>
      <c r="L2868" t="n">
        <v>0</v>
      </c>
      <c r="M2868" t="n">
        <v>0</v>
      </c>
      <c r="N2868" t="n">
        <v>0</v>
      </c>
      <c r="O2868" t="n">
        <v>0</v>
      </c>
      <c r="P2868" t="n">
        <v>0</v>
      </c>
      <c r="Q2868" t="n">
        <v>0</v>
      </c>
      <c r="R2868" s="2" t="inlineStr"/>
    </row>
    <row r="2869" ht="15" customHeight="1">
      <c r="A2869" t="inlineStr">
        <is>
          <t>A 578-2024</t>
        </is>
      </c>
      <c r="B2869" s="1" t="n">
        <v>45299</v>
      </c>
      <c r="C2869" s="1" t="n">
        <v>45962</v>
      </c>
      <c r="D2869" t="inlineStr">
        <is>
          <t>SKÅNE LÄN</t>
        </is>
      </c>
      <c r="E2869" t="inlineStr">
        <is>
          <t>TOMELILLA</t>
        </is>
      </c>
      <c r="F2869" t="inlineStr">
        <is>
          <t>Övriga Aktiebolag</t>
        </is>
      </c>
      <c r="G2869" t="n">
        <v>67.40000000000001</v>
      </c>
      <c r="H2869" t="n">
        <v>0</v>
      </c>
      <c r="I2869" t="n">
        <v>0</v>
      </c>
      <c r="J2869" t="n">
        <v>0</v>
      </c>
      <c r="K2869" t="n">
        <v>0</v>
      </c>
      <c r="L2869" t="n">
        <v>0</v>
      </c>
      <c r="M2869" t="n">
        <v>0</v>
      </c>
      <c r="N2869" t="n">
        <v>0</v>
      </c>
      <c r="O2869" t="n">
        <v>0</v>
      </c>
      <c r="P2869" t="n">
        <v>0</v>
      </c>
      <c r="Q2869" t="n">
        <v>0</v>
      </c>
      <c r="R2869" s="2" t="inlineStr"/>
    </row>
    <row r="2870" ht="15" customHeight="1">
      <c r="A2870" t="inlineStr">
        <is>
          <t>A 36543-2022</t>
        </is>
      </c>
      <c r="B2870" s="1" t="n">
        <v>44804.57</v>
      </c>
      <c r="C2870" s="1" t="n">
        <v>45962</v>
      </c>
      <c r="D2870" t="inlineStr">
        <is>
          <t>SKÅNE LÄN</t>
        </is>
      </c>
      <c r="E2870" t="inlineStr">
        <is>
          <t>ÖRKELLJUNGA</t>
        </is>
      </c>
      <c r="G2870" t="n">
        <v>0.9</v>
      </c>
      <c r="H2870" t="n">
        <v>0</v>
      </c>
      <c r="I2870" t="n">
        <v>0</v>
      </c>
      <c r="J2870" t="n">
        <v>0</v>
      </c>
      <c r="K2870" t="n">
        <v>0</v>
      </c>
      <c r="L2870" t="n">
        <v>0</v>
      </c>
      <c r="M2870" t="n">
        <v>0</v>
      </c>
      <c r="N2870" t="n">
        <v>0</v>
      </c>
      <c r="O2870" t="n">
        <v>0</v>
      </c>
      <c r="P2870" t="n">
        <v>0</v>
      </c>
      <c r="Q2870" t="n">
        <v>0</v>
      </c>
      <c r="R2870" s="2" t="inlineStr"/>
    </row>
    <row r="2871" ht="15" customHeight="1">
      <c r="A2871" t="inlineStr">
        <is>
          <t>A 22256-2022</t>
        </is>
      </c>
      <c r="B2871" s="1" t="n">
        <v>44712</v>
      </c>
      <c r="C2871" s="1" t="n">
        <v>45962</v>
      </c>
      <c r="D2871" t="inlineStr">
        <is>
          <t>SKÅNE LÄN</t>
        </is>
      </c>
      <c r="E2871" t="inlineStr">
        <is>
          <t>BJUV</t>
        </is>
      </c>
      <c r="G2871" t="n">
        <v>11.2</v>
      </c>
      <c r="H2871" t="n">
        <v>0</v>
      </c>
      <c r="I2871" t="n">
        <v>0</v>
      </c>
      <c r="J2871" t="n">
        <v>0</v>
      </c>
      <c r="K2871" t="n">
        <v>0</v>
      </c>
      <c r="L2871" t="n">
        <v>0</v>
      </c>
      <c r="M2871" t="n">
        <v>0</v>
      </c>
      <c r="N2871" t="n">
        <v>0</v>
      </c>
      <c r="O2871" t="n">
        <v>0</v>
      </c>
      <c r="P2871" t="n">
        <v>0</v>
      </c>
      <c r="Q2871" t="n">
        <v>0</v>
      </c>
      <c r="R2871" s="2" t="inlineStr"/>
    </row>
    <row r="2872" ht="15" customHeight="1">
      <c r="A2872" t="inlineStr">
        <is>
          <t>A 4964-2022</t>
        </is>
      </c>
      <c r="B2872" s="1" t="n">
        <v>44593</v>
      </c>
      <c r="C2872" s="1" t="n">
        <v>45962</v>
      </c>
      <c r="D2872" t="inlineStr">
        <is>
          <t>SKÅNE LÄN</t>
        </is>
      </c>
      <c r="E2872" t="inlineStr">
        <is>
          <t>SVALÖV</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20622-2022</t>
        </is>
      </c>
      <c r="B2873" s="1" t="n">
        <v>44700</v>
      </c>
      <c r="C2873" s="1" t="n">
        <v>45962</v>
      </c>
      <c r="D2873" t="inlineStr">
        <is>
          <t>SKÅNE LÄN</t>
        </is>
      </c>
      <c r="E2873" t="inlineStr">
        <is>
          <t>ÖSTRA GÖINGE</t>
        </is>
      </c>
      <c r="G2873" t="n">
        <v>2.4</v>
      </c>
      <c r="H2873" t="n">
        <v>0</v>
      </c>
      <c r="I2873" t="n">
        <v>0</v>
      </c>
      <c r="J2873" t="n">
        <v>0</v>
      </c>
      <c r="K2873" t="n">
        <v>0</v>
      </c>
      <c r="L2873" t="n">
        <v>0</v>
      </c>
      <c r="M2873" t="n">
        <v>0</v>
      </c>
      <c r="N2873" t="n">
        <v>0</v>
      </c>
      <c r="O2873" t="n">
        <v>0</v>
      </c>
      <c r="P2873" t="n">
        <v>0</v>
      </c>
      <c r="Q2873" t="n">
        <v>0</v>
      </c>
      <c r="R2873" s="2" t="inlineStr"/>
    </row>
    <row r="2874" ht="15" customHeight="1">
      <c r="A2874" t="inlineStr">
        <is>
          <t>A 531-2025</t>
        </is>
      </c>
      <c r="B2874" s="1" t="n">
        <v>45664.50216435185</v>
      </c>
      <c r="C2874" s="1" t="n">
        <v>45962</v>
      </c>
      <c r="D2874" t="inlineStr">
        <is>
          <t>SKÅNE LÄN</t>
        </is>
      </c>
      <c r="E2874" t="inlineStr">
        <is>
          <t>HÖÖR</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69500-2020</t>
        </is>
      </c>
      <c r="B2875" s="1" t="n">
        <v>44194</v>
      </c>
      <c r="C2875" s="1" t="n">
        <v>45962</v>
      </c>
      <c r="D2875" t="inlineStr">
        <is>
          <t>SKÅNE LÄN</t>
        </is>
      </c>
      <c r="E2875" t="inlineStr">
        <is>
          <t>HÄSSLEHOLM</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14965-2024</t>
        </is>
      </c>
      <c r="B2876" s="1" t="n">
        <v>45398</v>
      </c>
      <c r="C2876" s="1" t="n">
        <v>45962</v>
      </c>
      <c r="D2876" t="inlineStr">
        <is>
          <t>SKÅNE LÄN</t>
        </is>
      </c>
      <c r="E2876" t="inlineStr">
        <is>
          <t>KRISTIANSTAD</t>
        </is>
      </c>
      <c r="G2876" t="n">
        <v>13.5</v>
      </c>
      <c r="H2876" t="n">
        <v>0</v>
      </c>
      <c r="I2876" t="n">
        <v>0</v>
      </c>
      <c r="J2876" t="n">
        <v>0</v>
      </c>
      <c r="K2876" t="n">
        <v>0</v>
      </c>
      <c r="L2876" t="n">
        <v>0</v>
      </c>
      <c r="M2876" t="n">
        <v>0</v>
      </c>
      <c r="N2876" t="n">
        <v>0</v>
      </c>
      <c r="O2876" t="n">
        <v>0</v>
      </c>
      <c r="P2876" t="n">
        <v>0</v>
      </c>
      <c r="Q2876" t="n">
        <v>0</v>
      </c>
      <c r="R2876" s="2" t="inlineStr"/>
    </row>
    <row r="2877" ht="15" customHeight="1">
      <c r="A2877" t="inlineStr">
        <is>
          <t>A 13068-2023</t>
        </is>
      </c>
      <c r="B2877" s="1" t="n">
        <v>45002.38854166667</v>
      </c>
      <c r="C2877" s="1" t="n">
        <v>45962</v>
      </c>
      <c r="D2877" t="inlineStr">
        <is>
          <t>SKÅNE LÄN</t>
        </is>
      </c>
      <c r="E2877" t="inlineStr">
        <is>
          <t>ÖRKELLJUNGA</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20403-2024</t>
        </is>
      </c>
      <c r="B2878" s="1" t="n">
        <v>45435</v>
      </c>
      <c r="C2878" s="1" t="n">
        <v>45962</v>
      </c>
      <c r="D2878" t="inlineStr">
        <is>
          <t>SKÅNE LÄN</t>
        </is>
      </c>
      <c r="E2878" t="inlineStr">
        <is>
          <t>HÖRBY</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41557-2022</t>
        </is>
      </c>
      <c r="B2879" s="1" t="n">
        <v>44827.39942129629</v>
      </c>
      <c r="C2879" s="1" t="n">
        <v>45962</v>
      </c>
      <c r="D2879" t="inlineStr">
        <is>
          <t>SKÅNE LÄN</t>
        </is>
      </c>
      <c r="E2879" t="inlineStr">
        <is>
          <t>OSBY</t>
        </is>
      </c>
      <c r="G2879" t="n">
        <v>1.5</v>
      </c>
      <c r="H2879" t="n">
        <v>0</v>
      </c>
      <c r="I2879" t="n">
        <v>0</v>
      </c>
      <c r="J2879" t="n">
        <v>0</v>
      </c>
      <c r="K2879" t="n">
        <v>0</v>
      </c>
      <c r="L2879" t="n">
        <v>0</v>
      </c>
      <c r="M2879" t="n">
        <v>0</v>
      </c>
      <c r="N2879" t="n">
        <v>0</v>
      </c>
      <c r="O2879" t="n">
        <v>0</v>
      </c>
      <c r="P2879" t="n">
        <v>0</v>
      </c>
      <c r="Q2879" t="n">
        <v>0</v>
      </c>
      <c r="R2879" s="2" t="inlineStr"/>
    </row>
    <row r="2880" ht="15" customHeight="1">
      <c r="A2880" t="inlineStr">
        <is>
          <t>A 24217-2025</t>
        </is>
      </c>
      <c r="B2880" s="1" t="n">
        <v>45797.35565972222</v>
      </c>
      <c r="C2880" s="1" t="n">
        <v>45962</v>
      </c>
      <c r="D2880" t="inlineStr">
        <is>
          <t>SKÅNE LÄN</t>
        </is>
      </c>
      <c r="E2880" t="inlineStr">
        <is>
          <t>KLIPPAN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61096-2022</t>
        </is>
      </c>
      <c r="B2881" s="1" t="n">
        <v>44915.39915509259</v>
      </c>
      <c r="C2881" s="1" t="n">
        <v>45962</v>
      </c>
      <c r="D2881" t="inlineStr">
        <is>
          <t>SKÅNE LÄN</t>
        </is>
      </c>
      <c r="E2881" t="inlineStr">
        <is>
          <t>ÖSTRA GÖINGE</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8741-2024</t>
        </is>
      </c>
      <c r="B2882" s="1" t="n">
        <v>45356.48212962963</v>
      </c>
      <c r="C2882" s="1" t="n">
        <v>45962</v>
      </c>
      <c r="D2882" t="inlineStr">
        <is>
          <t>SKÅNE LÄN</t>
        </is>
      </c>
      <c r="E2882" t="inlineStr">
        <is>
          <t>PERSTORP</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37354-2022</t>
        </is>
      </c>
      <c r="B2883" s="1" t="n">
        <v>44806</v>
      </c>
      <c r="C2883" s="1" t="n">
        <v>45962</v>
      </c>
      <c r="D2883" t="inlineStr">
        <is>
          <t>SKÅNE LÄN</t>
        </is>
      </c>
      <c r="E2883" t="inlineStr">
        <is>
          <t>SVALÖV</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14939-2023</t>
        </is>
      </c>
      <c r="B2884" s="1" t="n">
        <v>45014</v>
      </c>
      <c r="C2884" s="1" t="n">
        <v>45962</v>
      </c>
      <c r="D2884" t="inlineStr">
        <is>
          <t>SKÅNE LÄN</t>
        </is>
      </c>
      <c r="E2884" t="inlineStr">
        <is>
          <t>HÄSSLEHOLM</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13345-2025</t>
        </is>
      </c>
      <c r="B2885" s="1" t="n">
        <v>45735.63017361111</v>
      </c>
      <c r="C2885" s="1" t="n">
        <v>45962</v>
      </c>
      <c r="D2885" t="inlineStr">
        <is>
          <t>SKÅNE LÄN</t>
        </is>
      </c>
      <c r="E2885" t="inlineStr">
        <is>
          <t>HÄSSLEHOLM</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57529-2022</t>
        </is>
      </c>
      <c r="B2886" s="1" t="n">
        <v>44896.67655092593</v>
      </c>
      <c r="C2886" s="1" t="n">
        <v>45962</v>
      </c>
      <c r="D2886" t="inlineStr">
        <is>
          <t>SKÅNE LÄN</t>
        </is>
      </c>
      <c r="E2886" t="inlineStr">
        <is>
          <t>ÖSTRA GÖINGE</t>
        </is>
      </c>
      <c r="G2886" t="n">
        <v>3.8</v>
      </c>
      <c r="H2886" t="n">
        <v>0</v>
      </c>
      <c r="I2886" t="n">
        <v>0</v>
      </c>
      <c r="J2886" t="n">
        <v>0</v>
      </c>
      <c r="K2886" t="n">
        <v>0</v>
      </c>
      <c r="L2886" t="n">
        <v>0</v>
      </c>
      <c r="M2886" t="n">
        <v>0</v>
      </c>
      <c r="N2886" t="n">
        <v>0</v>
      </c>
      <c r="O2886" t="n">
        <v>0</v>
      </c>
      <c r="P2886" t="n">
        <v>0</v>
      </c>
      <c r="Q2886" t="n">
        <v>0</v>
      </c>
      <c r="R2886" s="2" t="inlineStr"/>
    </row>
    <row r="2887" ht="15" customHeight="1">
      <c r="A2887" t="inlineStr">
        <is>
          <t>A 54782-2022</t>
        </is>
      </c>
      <c r="B2887" s="1" t="n">
        <v>44883</v>
      </c>
      <c r="C2887" s="1" t="n">
        <v>45962</v>
      </c>
      <c r="D2887" t="inlineStr">
        <is>
          <t>SKÅNE LÄN</t>
        </is>
      </c>
      <c r="E2887" t="inlineStr">
        <is>
          <t>SKURUP</t>
        </is>
      </c>
      <c r="G2887" t="n">
        <v>5.5</v>
      </c>
      <c r="H2887" t="n">
        <v>0</v>
      </c>
      <c r="I2887" t="n">
        <v>0</v>
      </c>
      <c r="J2887" t="n">
        <v>0</v>
      </c>
      <c r="K2887" t="n">
        <v>0</v>
      </c>
      <c r="L2887" t="n">
        <v>0</v>
      </c>
      <c r="M2887" t="n">
        <v>0</v>
      </c>
      <c r="N2887" t="n">
        <v>0</v>
      </c>
      <c r="O2887" t="n">
        <v>0</v>
      </c>
      <c r="P2887" t="n">
        <v>0</v>
      </c>
      <c r="Q2887" t="n">
        <v>0</v>
      </c>
      <c r="R2887" s="2" t="inlineStr"/>
    </row>
    <row r="2888" ht="15" customHeight="1">
      <c r="A2888" t="inlineStr">
        <is>
          <t>A 1344-2021</t>
        </is>
      </c>
      <c r="B2888" s="1" t="n">
        <v>44208</v>
      </c>
      <c r="C2888" s="1" t="n">
        <v>45962</v>
      </c>
      <c r="D2888" t="inlineStr">
        <is>
          <t>SKÅNE LÄN</t>
        </is>
      </c>
      <c r="E2888" t="inlineStr">
        <is>
          <t>HÄSSLEHOLM</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11645-2025</t>
        </is>
      </c>
      <c r="B2889" s="1" t="n">
        <v>45727</v>
      </c>
      <c r="C2889" s="1" t="n">
        <v>45962</v>
      </c>
      <c r="D2889" t="inlineStr">
        <is>
          <t>SKÅNE LÄN</t>
        </is>
      </c>
      <c r="E2889" t="inlineStr">
        <is>
          <t>ÖSTRA GÖINGE</t>
        </is>
      </c>
      <c r="G2889" t="n">
        <v>2.3</v>
      </c>
      <c r="H2889" t="n">
        <v>0</v>
      </c>
      <c r="I2889" t="n">
        <v>0</v>
      </c>
      <c r="J2889" t="n">
        <v>0</v>
      </c>
      <c r="K2889" t="n">
        <v>0</v>
      </c>
      <c r="L2889" t="n">
        <v>0</v>
      </c>
      <c r="M2889" t="n">
        <v>0</v>
      </c>
      <c r="N2889" t="n">
        <v>0</v>
      </c>
      <c r="O2889" t="n">
        <v>0</v>
      </c>
      <c r="P2889" t="n">
        <v>0</v>
      </c>
      <c r="Q2889" t="n">
        <v>0</v>
      </c>
      <c r="R2889" s="2" t="inlineStr"/>
    </row>
    <row r="2890" ht="15" customHeight="1">
      <c r="A2890" t="inlineStr">
        <is>
          <t>A 5252-2025</t>
        </is>
      </c>
      <c r="B2890" s="1" t="n">
        <v>45692.3449537037</v>
      </c>
      <c r="C2890" s="1" t="n">
        <v>45962</v>
      </c>
      <c r="D2890" t="inlineStr">
        <is>
          <t>SKÅNE LÄN</t>
        </is>
      </c>
      <c r="E2890" t="inlineStr">
        <is>
          <t>HÄSSLEHOLM</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3831-2024</t>
        </is>
      </c>
      <c r="B2891" s="1" t="n">
        <v>45321.87001157407</v>
      </c>
      <c r="C2891" s="1" t="n">
        <v>45962</v>
      </c>
      <c r="D2891" t="inlineStr">
        <is>
          <t>SKÅNE LÄN</t>
        </is>
      </c>
      <c r="E2891" t="inlineStr">
        <is>
          <t>OSBY</t>
        </is>
      </c>
      <c r="G2891" t="n">
        <v>3.7</v>
      </c>
      <c r="H2891" t="n">
        <v>0</v>
      </c>
      <c r="I2891" t="n">
        <v>0</v>
      </c>
      <c r="J2891" t="n">
        <v>0</v>
      </c>
      <c r="K2891" t="n">
        <v>0</v>
      </c>
      <c r="L2891" t="n">
        <v>0</v>
      </c>
      <c r="M2891" t="n">
        <v>0</v>
      </c>
      <c r="N2891" t="n">
        <v>0</v>
      </c>
      <c r="O2891" t="n">
        <v>0</v>
      </c>
      <c r="P2891" t="n">
        <v>0</v>
      </c>
      <c r="Q2891" t="n">
        <v>0</v>
      </c>
      <c r="R2891" s="2" t="inlineStr"/>
    </row>
    <row r="2892" ht="15" customHeight="1">
      <c r="A2892" t="inlineStr">
        <is>
          <t>A 17321-2025</t>
        </is>
      </c>
      <c r="B2892" s="1" t="n">
        <v>45756</v>
      </c>
      <c r="C2892" s="1" t="n">
        <v>45962</v>
      </c>
      <c r="D2892" t="inlineStr">
        <is>
          <t>SKÅNE LÄN</t>
        </is>
      </c>
      <c r="E2892" t="inlineStr">
        <is>
          <t>PERSTORP</t>
        </is>
      </c>
      <c r="G2892" t="n">
        <v>2.5</v>
      </c>
      <c r="H2892" t="n">
        <v>0</v>
      </c>
      <c r="I2892" t="n">
        <v>0</v>
      </c>
      <c r="J2892" t="n">
        <v>0</v>
      </c>
      <c r="K2892" t="n">
        <v>0</v>
      </c>
      <c r="L2892" t="n">
        <v>0</v>
      </c>
      <c r="M2892" t="n">
        <v>0</v>
      </c>
      <c r="N2892" t="n">
        <v>0</v>
      </c>
      <c r="O2892" t="n">
        <v>0</v>
      </c>
      <c r="P2892" t="n">
        <v>0</v>
      </c>
      <c r="Q2892" t="n">
        <v>0</v>
      </c>
      <c r="R2892" s="2" t="inlineStr"/>
    </row>
    <row r="2893" ht="15" customHeight="1">
      <c r="A2893" t="inlineStr">
        <is>
          <t>A 8208-2025</t>
        </is>
      </c>
      <c r="B2893" s="1" t="n">
        <v>45708.44246527777</v>
      </c>
      <c r="C2893" s="1" t="n">
        <v>45962</v>
      </c>
      <c r="D2893" t="inlineStr">
        <is>
          <t>SKÅNE LÄN</t>
        </is>
      </c>
      <c r="E2893" t="inlineStr">
        <is>
          <t>OSBY</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4945-2022</t>
        </is>
      </c>
      <c r="B2894" s="1" t="n">
        <v>44593</v>
      </c>
      <c r="C2894" s="1" t="n">
        <v>45962</v>
      </c>
      <c r="D2894" t="inlineStr">
        <is>
          <t>SKÅNE LÄN</t>
        </is>
      </c>
      <c r="E2894" t="inlineStr">
        <is>
          <t>HÄSSLEHOLM</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5242-2025</t>
        </is>
      </c>
      <c r="B2895" s="1" t="n">
        <v>45692.32883101852</v>
      </c>
      <c r="C2895" s="1" t="n">
        <v>45962</v>
      </c>
      <c r="D2895" t="inlineStr">
        <is>
          <t>SKÅNE LÄN</t>
        </is>
      </c>
      <c r="E2895" t="inlineStr">
        <is>
          <t>HÄSSLEHOLM</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6753-2025</t>
        </is>
      </c>
      <c r="B2896" s="1" t="n">
        <v>45700.61596064815</v>
      </c>
      <c r="C2896" s="1" t="n">
        <v>45962</v>
      </c>
      <c r="D2896" t="inlineStr">
        <is>
          <t>SKÅNE LÄN</t>
        </is>
      </c>
      <c r="E2896" t="inlineStr">
        <is>
          <t>ÖSTRA GÖINGE</t>
        </is>
      </c>
      <c r="G2896" t="n">
        <v>2.6</v>
      </c>
      <c r="H2896" t="n">
        <v>0</v>
      </c>
      <c r="I2896" t="n">
        <v>0</v>
      </c>
      <c r="J2896" t="n">
        <v>0</v>
      </c>
      <c r="K2896" t="n">
        <v>0</v>
      </c>
      <c r="L2896" t="n">
        <v>0</v>
      </c>
      <c r="M2896" t="n">
        <v>0</v>
      </c>
      <c r="N2896" t="n">
        <v>0</v>
      </c>
      <c r="O2896" t="n">
        <v>0</v>
      </c>
      <c r="P2896" t="n">
        <v>0</v>
      </c>
      <c r="Q2896" t="n">
        <v>0</v>
      </c>
      <c r="R2896" s="2" t="inlineStr"/>
    </row>
    <row r="2897" ht="15" customHeight="1">
      <c r="A2897" t="inlineStr">
        <is>
          <t>A 30918-2022</t>
        </is>
      </c>
      <c r="B2897" s="1" t="n">
        <v>44767</v>
      </c>
      <c r="C2897" s="1" t="n">
        <v>45962</v>
      </c>
      <c r="D2897" t="inlineStr">
        <is>
          <t>SKÅNE LÄN</t>
        </is>
      </c>
      <c r="E2897" t="inlineStr">
        <is>
          <t>KRISTIANSTAD</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42751-2022</t>
        </is>
      </c>
      <c r="B2898" s="1" t="n">
        <v>44832</v>
      </c>
      <c r="C2898" s="1" t="n">
        <v>45962</v>
      </c>
      <c r="D2898" t="inlineStr">
        <is>
          <t>SKÅNE LÄN</t>
        </is>
      </c>
      <c r="E2898" t="inlineStr">
        <is>
          <t>OSBY</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24034-2025</t>
        </is>
      </c>
      <c r="B2899" s="1" t="n">
        <v>45796.48251157408</v>
      </c>
      <c r="C2899" s="1" t="n">
        <v>45962</v>
      </c>
      <c r="D2899" t="inlineStr">
        <is>
          <t>SKÅNE LÄN</t>
        </is>
      </c>
      <c r="E2899" t="inlineStr">
        <is>
          <t>HÄSSLEHOLM</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48909-2024</t>
        </is>
      </c>
      <c r="B2900" s="1" t="n">
        <v>45594</v>
      </c>
      <c r="C2900" s="1" t="n">
        <v>45962</v>
      </c>
      <c r="D2900" t="inlineStr">
        <is>
          <t>SKÅNE LÄN</t>
        </is>
      </c>
      <c r="E2900" t="inlineStr">
        <is>
          <t>HÖÖR</t>
        </is>
      </c>
      <c r="G2900" t="n">
        <v>28.4</v>
      </c>
      <c r="H2900" t="n">
        <v>0</v>
      </c>
      <c r="I2900" t="n">
        <v>0</v>
      </c>
      <c r="J2900" t="n">
        <v>0</v>
      </c>
      <c r="K2900" t="n">
        <v>0</v>
      </c>
      <c r="L2900" t="n">
        <v>0</v>
      </c>
      <c r="M2900" t="n">
        <v>0</v>
      </c>
      <c r="N2900" t="n">
        <v>0</v>
      </c>
      <c r="O2900" t="n">
        <v>0</v>
      </c>
      <c r="P2900" t="n">
        <v>0</v>
      </c>
      <c r="Q2900" t="n">
        <v>0</v>
      </c>
      <c r="R2900" s="2" t="inlineStr"/>
    </row>
    <row r="2901" ht="15" customHeight="1">
      <c r="A2901" t="inlineStr">
        <is>
          <t>A 1106-2023</t>
        </is>
      </c>
      <c r="B2901" s="1" t="n">
        <v>44935</v>
      </c>
      <c r="C2901" s="1" t="n">
        <v>45962</v>
      </c>
      <c r="D2901" t="inlineStr">
        <is>
          <t>SKÅNE LÄN</t>
        </is>
      </c>
      <c r="E2901" t="inlineStr">
        <is>
          <t>HÖRBY</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13959-2025</t>
        </is>
      </c>
      <c r="B2902" s="1" t="n">
        <v>45737.90570601852</v>
      </c>
      <c r="C2902" s="1" t="n">
        <v>45962</v>
      </c>
      <c r="D2902" t="inlineStr">
        <is>
          <t>SKÅNE LÄN</t>
        </is>
      </c>
      <c r="E2902" t="inlineStr">
        <is>
          <t>OSBY</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29355-2024</t>
        </is>
      </c>
      <c r="B2903" s="1" t="n">
        <v>45483.51128472222</v>
      </c>
      <c r="C2903" s="1" t="n">
        <v>45962</v>
      </c>
      <c r="D2903" t="inlineStr">
        <is>
          <t>SKÅNE LÄN</t>
        </is>
      </c>
      <c r="E2903" t="inlineStr">
        <is>
          <t>ÖSTRA GÖINGE</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5954-2025</t>
        </is>
      </c>
      <c r="B2904" s="1" t="n">
        <v>45695.4777662037</v>
      </c>
      <c r="C2904" s="1" t="n">
        <v>45962</v>
      </c>
      <c r="D2904" t="inlineStr">
        <is>
          <t>SKÅNE LÄN</t>
        </is>
      </c>
      <c r="E2904" t="inlineStr">
        <is>
          <t>ÖRKELLJUNGA</t>
        </is>
      </c>
      <c r="G2904" t="n">
        <v>0</v>
      </c>
      <c r="H2904" t="n">
        <v>0</v>
      </c>
      <c r="I2904" t="n">
        <v>0</v>
      </c>
      <c r="J2904" t="n">
        <v>0</v>
      </c>
      <c r="K2904" t="n">
        <v>0</v>
      </c>
      <c r="L2904" t="n">
        <v>0</v>
      </c>
      <c r="M2904" t="n">
        <v>0</v>
      </c>
      <c r="N2904" t="n">
        <v>0</v>
      </c>
      <c r="O2904" t="n">
        <v>0</v>
      </c>
      <c r="P2904" t="n">
        <v>0</v>
      </c>
      <c r="Q2904" t="n">
        <v>0</v>
      </c>
      <c r="R2904" s="2" t="inlineStr"/>
    </row>
    <row r="2905" ht="15" customHeight="1">
      <c r="A2905" t="inlineStr">
        <is>
          <t>A 27724-2024</t>
        </is>
      </c>
      <c r="B2905" s="1" t="n">
        <v>45475</v>
      </c>
      <c r="C2905" s="1" t="n">
        <v>45962</v>
      </c>
      <c r="D2905" t="inlineStr">
        <is>
          <t>SKÅNE LÄN</t>
        </is>
      </c>
      <c r="E2905" t="inlineStr">
        <is>
          <t>ÖSTRA GÖINGE</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19439-2024</t>
        </is>
      </c>
      <c r="B2906" s="1" t="n">
        <v>45429</v>
      </c>
      <c r="C2906" s="1" t="n">
        <v>45962</v>
      </c>
      <c r="D2906" t="inlineStr">
        <is>
          <t>SKÅNE LÄN</t>
        </is>
      </c>
      <c r="E2906" t="inlineStr">
        <is>
          <t>SIMRISHAMN</t>
        </is>
      </c>
      <c r="G2906" t="n">
        <v>3.1</v>
      </c>
      <c r="H2906" t="n">
        <v>0</v>
      </c>
      <c r="I2906" t="n">
        <v>0</v>
      </c>
      <c r="J2906" t="n">
        <v>0</v>
      </c>
      <c r="K2906" t="n">
        <v>0</v>
      </c>
      <c r="L2906" t="n">
        <v>0</v>
      </c>
      <c r="M2906" t="n">
        <v>0</v>
      </c>
      <c r="N2906" t="n">
        <v>0</v>
      </c>
      <c r="O2906" t="n">
        <v>0</v>
      </c>
      <c r="P2906" t="n">
        <v>0</v>
      </c>
      <c r="Q2906" t="n">
        <v>0</v>
      </c>
      <c r="R2906" s="2" t="inlineStr"/>
    </row>
    <row r="2907" ht="15" customHeight="1">
      <c r="A2907" t="inlineStr">
        <is>
          <t>A 28260-2023</t>
        </is>
      </c>
      <c r="B2907" s="1" t="n">
        <v>45099</v>
      </c>
      <c r="C2907" s="1" t="n">
        <v>45962</v>
      </c>
      <c r="D2907" t="inlineStr">
        <is>
          <t>SKÅNE LÄN</t>
        </is>
      </c>
      <c r="E2907" t="inlineStr">
        <is>
          <t>BÅSTAD</t>
        </is>
      </c>
      <c r="G2907" t="n">
        <v>5</v>
      </c>
      <c r="H2907" t="n">
        <v>0</v>
      </c>
      <c r="I2907" t="n">
        <v>0</v>
      </c>
      <c r="J2907" t="n">
        <v>0</v>
      </c>
      <c r="K2907" t="n">
        <v>0</v>
      </c>
      <c r="L2907" t="n">
        <v>0</v>
      </c>
      <c r="M2907" t="n">
        <v>0</v>
      </c>
      <c r="N2907" t="n">
        <v>0</v>
      </c>
      <c r="O2907" t="n">
        <v>0</v>
      </c>
      <c r="P2907" t="n">
        <v>0</v>
      </c>
      <c r="Q2907" t="n">
        <v>0</v>
      </c>
      <c r="R2907" s="2" t="inlineStr"/>
    </row>
    <row r="2908" ht="15" customHeight="1">
      <c r="A2908" t="inlineStr">
        <is>
          <t>A 20235-2025</t>
        </is>
      </c>
      <c r="B2908" s="1" t="n">
        <v>45772.67386574074</v>
      </c>
      <c r="C2908" s="1" t="n">
        <v>45962</v>
      </c>
      <c r="D2908" t="inlineStr">
        <is>
          <t>SKÅNE LÄN</t>
        </is>
      </c>
      <c r="E2908" t="inlineStr">
        <is>
          <t>SVALÖV</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24250-2025</t>
        </is>
      </c>
      <c r="B2909" s="1" t="n">
        <v>45797.40260416667</v>
      </c>
      <c r="C2909" s="1" t="n">
        <v>45962</v>
      </c>
      <c r="D2909" t="inlineStr">
        <is>
          <t>SKÅNE LÄN</t>
        </is>
      </c>
      <c r="E2909" t="inlineStr">
        <is>
          <t>HÄSSLEHOLM</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35937-2024</t>
        </is>
      </c>
      <c r="B2910" s="1" t="n">
        <v>45533</v>
      </c>
      <c r="C2910" s="1" t="n">
        <v>45962</v>
      </c>
      <c r="D2910" t="inlineStr">
        <is>
          <t>SKÅNE LÄN</t>
        </is>
      </c>
      <c r="E2910" t="inlineStr">
        <is>
          <t>KRISTIANSTAD</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24303-2025</t>
        </is>
      </c>
      <c r="B2911" s="1" t="n">
        <v>45797.48488425926</v>
      </c>
      <c r="C2911" s="1" t="n">
        <v>45962</v>
      </c>
      <c r="D2911" t="inlineStr">
        <is>
          <t>SKÅNE LÄN</t>
        </is>
      </c>
      <c r="E2911" t="inlineStr">
        <is>
          <t>KRISTIANSTAD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53361-2024</t>
        </is>
      </c>
      <c r="B2912" s="1" t="n">
        <v>45614</v>
      </c>
      <c r="C2912" s="1" t="n">
        <v>45962</v>
      </c>
      <c r="D2912" t="inlineStr">
        <is>
          <t>SKÅNE LÄN</t>
        </is>
      </c>
      <c r="E2912" t="inlineStr">
        <is>
          <t>KÄVLINGE</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53361-2024</t>
        </is>
      </c>
      <c r="B2913" s="1" t="n">
        <v>45614</v>
      </c>
      <c r="C2913" s="1" t="n">
        <v>45962</v>
      </c>
      <c r="D2913" t="inlineStr">
        <is>
          <t>SKÅNE LÄN</t>
        </is>
      </c>
      <c r="E2913" t="inlineStr">
        <is>
          <t>KÄVLINGE</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61414-2024</t>
        </is>
      </c>
      <c r="B2914" s="1" t="n">
        <v>45646.44403935185</v>
      </c>
      <c r="C2914" s="1" t="n">
        <v>45962</v>
      </c>
      <c r="D2914" t="inlineStr">
        <is>
          <t>SKÅNE LÄN</t>
        </is>
      </c>
      <c r="E2914" t="inlineStr">
        <is>
          <t>OSBY</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42061-2024</t>
        </is>
      </c>
      <c r="B2915" s="1" t="n">
        <v>45561</v>
      </c>
      <c r="C2915" s="1" t="n">
        <v>45962</v>
      </c>
      <c r="D2915" t="inlineStr">
        <is>
          <t>SKÅNE LÄN</t>
        </is>
      </c>
      <c r="E2915" t="inlineStr">
        <is>
          <t>KRISTIANSTAD</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35677-2024</t>
        </is>
      </c>
      <c r="B2916" s="1" t="n">
        <v>45532</v>
      </c>
      <c r="C2916" s="1" t="n">
        <v>45962</v>
      </c>
      <c r="D2916" t="inlineStr">
        <is>
          <t>SKÅNE LÄN</t>
        </is>
      </c>
      <c r="E2916" t="inlineStr">
        <is>
          <t>KRISTIANSTAD</t>
        </is>
      </c>
      <c r="G2916" t="n">
        <v>1.7</v>
      </c>
      <c r="H2916" t="n">
        <v>0</v>
      </c>
      <c r="I2916" t="n">
        <v>0</v>
      </c>
      <c r="J2916" t="n">
        <v>0</v>
      </c>
      <c r="K2916" t="n">
        <v>0</v>
      </c>
      <c r="L2916" t="n">
        <v>0</v>
      </c>
      <c r="M2916" t="n">
        <v>0</v>
      </c>
      <c r="N2916" t="n">
        <v>0</v>
      </c>
      <c r="O2916" t="n">
        <v>0</v>
      </c>
      <c r="P2916" t="n">
        <v>0</v>
      </c>
      <c r="Q2916" t="n">
        <v>0</v>
      </c>
      <c r="R2916" s="2" t="inlineStr"/>
    </row>
    <row r="2917" ht="15" customHeight="1">
      <c r="A2917" t="inlineStr">
        <is>
          <t>A 35688-2024</t>
        </is>
      </c>
      <c r="B2917" s="1" t="n">
        <v>45532</v>
      </c>
      <c r="C2917" s="1" t="n">
        <v>45962</v>
      </c>
      <c r="D2917" t="inlineStr">
        <is>
          <t>SKÅNE LÄN</t>
        </is>
      </c>
      <c r="E2917" t="inlineStr">
        <is>
          <t>KRISTIANSTAD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30857-2023</t>
        </is>
      </c>
      <c r="B2918" s="1" t="n">
        <v>45112</v>
      </c>
      <c r="C2918" s="1" t="n">
        <v>45962</v>
      </c>
      <c r="D2918" t="inlineStr">
        <is>
          <t>SKÅNE LÄN</t>
        </is>
      </c>
      <c r="E2918" t="inlineStr">
        <is>
          <t>KRISTIANSTAD</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6347-2024</t>
        </is>
      </c>
      <c r="B2919" s="1" t="n">
        <v>45338</v>
      </c>
      <c r="C2919" s="1" t="n">
        <v>45962</v>
      </c>
      <c r="D2919" t="inlineStr">
        <is>
          <t>SKÅNE LÄN</t>
        </is>
      </c>
      <c r="E2919" t="inlineStr">
        <is>
          <t>KRISTIANSTAD</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6357-2024</t>
        </is>
      </c>
      <c r="B2920" s="1" t="n">
        <v>45338</v>
      </c>
      <c r="C2920" s="1" t="n">
        <v>45962</v>
      </c>
      <c r="D2920" t="inlineStr">
        <is>
          <t>SKÅNE LÄN</t>
        </is>
      </c>
      <c r="E2920" t="inlineStr">
        <is>
          <t>TOMELILLA</t>
        </is>
      </c>
      <c r="F2920" t="inlineStr">
        <is>
          <t>Kyrkan</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14614-2023</t>
        </is>
      </c>
      <c r="B2921" s="1" t="n">
        <v>45013</v>
      </c>
      <c r="C2921" s="1" t="n">
        <v>45962</v>
      </c>
      <c r="D2921" t="inlineStr">
        <is>
          <t>SKÅNE LÄN</t>
        </is>
      </c>
      <c r="E2921" t="inlineStr">
        <is>
          <t>KLIPPAN</t>
        </is>
      </c>
      <c r="G2921" t="n">
        <v>5.1</v>
      </c>
      <c r="H2921" t="n">
        <v>0</v>
      </c>
      <c r="I2921" t="n">
        <v>0</v>
      </c>
      <c r="J2921" t="n">
        <v>0</v>
      </c>
      <c r="K2921" t="n">
        <v>0</v>
      </c>
      <c r="L2921" t="n">
        <v>0</v>
      </c>
      <c r="M2921" t="n">
        <v>0</v>
      </c>
      <c r="N2921" t="n">
        <v>0</v>
      </c>
      <c r="O2921" t="n">
        <v>0</v>
      </c>
      <c r="P2921" t="n">
        <v>0</v>
      </c>
      <c r="Q2921" t="n">
        <v>0</v>
      </c>
      <c r="R2921" s="2" t="inlineStr"/>
    </row>
    <row r="2922" ht="15" customHeight="1">
      <c r="A2922" t="inlineStr">
        <is>
          <t>A 24029-2025</t>
        </is>
      </c>
      <c r="B2922" s="1" t="n">
        <v>45796.47552083333</v>
      </c>
      <c r="C2922" s="1" t="n">
        <v>45962</v>
      </c>
      <c r="D2922" t="inlineStr">
        <is>
          <t>SKÅNE LÄN</t>
        </is>
      </c>
      <c r="E2922" t="inlineStr">
        <is>
          <t>HÄSSLEHOLM</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14700-2023</t>
        </is>
      </c>
      <c r="B2923" s="1" t="n">
        <v>45014.38376157408</v>
      </c>
      <c r="C2923" s="1" t="n">
        <v>45962</v>
      </c>
      <c r="D2923" t="inlineStr">
        <is>
          <t>SKÅNE LÄN</t>
        </is>
      </c>
      <c r="E2923" t="inlineStr">
        <is>
          <t>HÄSSLEHOLM</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24038-2025</t>
        </is>
      </c>
      <c r="B2924" s="1" t="n">
        <v>45796.48542824074</v>
      </c>
      <c r="C2924" s="1" t="n">
        <v>45962</v>
      </c>
      <c r="D2924" t="inlineStr">
        <is>
          <t>SKÅNE LÄN</t>
        </is>
      </c>
      <c r="E2924" t="inlineStr">
        <is>
          <t>OSBY</t>
        </is>
      </c>
      <c r="F2924" t="inlineStr">
        <is>
          <t>Sveaskog</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45496-2024</t>
        </is>
      </c>
      <c r="B2925" s="1" t="n">
        <v>45577.79115740741</v>
      </c>
      <c r="C2925" s="1" t="n">
        <v>45962</v>
      </c>
      <c r="D2925" t="inlineStr">
        <is>
          <t>SKÅNE LÄN</t>
        </is>
      </c>
      <c r="E2925" t="inlineStr">
        <is>
          <t>KRISTIANSTAD</t>
        </is>
      </c>
      <c r="G2925" t="n">
        <v>3.2</v>
      </c>
      <c r="H2925" t="n">
        <v>0</v>
      </c>
      <c r="I2925" t="n">
        <v>0</v>
      </c>
      <c r="J2925" t="n">
        <v>0</v>
      </c>
      <c r="K2925" t="n">
        <v>0</v>
      </c>
      <c r="L2925" t="n">
        <v>0</v>
      </c>
      <c r="M2925" t="n">
        <v>0</v>
      </c>
      <c r="N2925" t="n">
        <v>0</v>
      </c>
      <c r="O2925" t="n">
        <v>0</v>
      </c>
      <c r="P2925" t="n">
        <v>0</v>
      </c>
      <c r="Q2925" t="n">
        <v>0</v>
      </c>
      <c r="R2925" s="2" t="inlineStr"/>
    </row>
    <row r="2926" ht="15" customHeight="1">
      <c r="A2926" t="inlineStr">
        <is>
          <t>A 56968-2024</t>
        </is>
      </c>
      <c r="B2926" s="1" t="n">
        <v>45628.66327546296</v>
      </c>
      <c r="C2926" s="1" t="n">
        <v>45962</v>
      </c>
      <c r="D2926" t="inlineStr">
        <is>
          <t>SKÅNE LÄN</t>
        </is>
      </c>
      <c r="E2926" t="inlineStr">
        <is>
          <t>TOMELILLA</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60791-2023</t>
        </is>
      </c>
      <c r="B2927" s="1" t="n">
        <v>45260.65283564815</v>
      </c>
      <c r="C2927" s="1" t="n">
        <v>45962</v>
      </c>
      <c r="D2927" t="inlineStr">
        <is>
          <t>SKÅNE LÄN</t>
        </is>
      </c>
      <c r="E2927" t="inlineStr">
        <is>
          <t>KLIPPAN</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24039-2025</t>
        </is>
      </c>
      <c r="B2928" s="1" t="n">
        <v>45796.48675925926</v>
      </c>
      <c r="C2928" s="1" t="n">
        <v>45962</v>
      </c>
      <c r="D2928" t="inlineStr">
        <is>
          <t>SKÅNE LÄN</t>
        </is>
      </c>
      <c r="E2928" t="inlineStr">
        <is>
          <t>HÄSSLEHOLM</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11773-2023</t>
        </is>
      </c>
      <c r="B2929" s="1" t="n">
        <v>44994.64373842593</v>
      </c>
      <c r="C2929" s="1" t="n">
        <v>45962</v>
      </c>
      <c r="D2929" t="inlineStr">
        <is>
          <t>SKÅNE LÄN</t>
        </is>
      </c>
      <c r="E2929" t="inlineStr">
        <is>
          <t>OSBY</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16665-2022</t>
        </is>
      </c>
      <c r="B2930" s="1" t="n">
        <v>44672</v>
      </c>
      <c r="C2930" s="1" t="n">
        <v>45962</v>
      </c>
      <c r="D2930" t="inlineStr">
        <is>
          <t>SKÅNE LÄN</t>
        </is>
      </c>
      <c r="E2930" t="inlineStr">
        <is>
          <t>HÖÖR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1228-2022</t>
        </is>
      </c>
      <c r="B2931" s="1" t="n">
        <v>44572</v>
      </c>
      <c r="C2931" s="1" t="n">
        <v>45962</v>
      </c>
      <c r="D2931" t="inlineStr">
        <is>
          <t>SKÅNE LÄN</t>
        </is>
      </c>
      <c r="E2931" t="inlineStr">
        <is>
          <t>KRISTIANSTAD</t>
        </is>
      </c>
      <c r="G2931" t="n">
        <v>1.7</v>
      </c>
      <c r="H2931" t="n">
        <v>0</v>
      </c>
      <c r="I2931" t="n">
        <v>0</v>
      </c>
      <c r="J2931" t="n">
        <v>0</v>
      </c>
      <c r="K2931" t="n">
        <v>0</v>
      </c>
      <c r="L2931" t="n">
        <v>0</v>
      </c>
      <c r="M2931" t="n">
        <v>0</v>
      </c>
      <c r="N2931" t="n">
        <v>0</v>
      </c>
      <c r="O2931" t="n">
        <v>0</v>
      </c>
      <c r="P2931" t="n">
        <v>0</v>
      </c>
      <c r="Q2931" t="n">
        <v>0</v>
      </c>
      <c r="R2931" s="2" t="inlineStr"/>
    </row>
    <row r="2932" ht="15" customHeight="1">
      <c r="A2932" t="inlineStr">
        <is>
          <t>A 25711-2025</t>
        </is>
      </c>
      <c r="B2932" s="1" t="n">
        <v>45803</v>
      </c>
      <c r="C2932" s="1" t="n">
        <v>45962</v>
      </c>
      <c r="D2932" t="inlineStr">
        <is>
          <t>SKÅNE LÄN</t>
        </is>
      </c>
      <c r="E2932" t="inlineStr">
        <is>
          <t>KRISTIANSTAD</t>
        </is>
      </c>
      <c r="G2932" t="n">
        <v>18.8</v>
      </c>
      <c r="H2932" t="n">
        <v>0</v>
      </c>
      <c r="I2932" t="n">
        <v>0</v>
      </c>
      <c r="J2932" t="n">
        <v>0</v>
      </c>
      <c r="K2932" t="n">
        <v>0</v>
      </c>
      <c r="L2932" t="n">
        <v>0</v>
      </c>
      <c r="M2932" t="n">
        <v>0</v>
      </c>
      <c r="N2932" t="n">
        <v>0</v>
      </c>
      <c r="O2932" t="n">
        <v>0</v>
      </c>
      <c r="P2932" t="n">
        <v>0</v>
      </c>
      <c r="Q2932" t="n">
        <v>0</v>
      </c>
      <c r="R2932" s="2" t="inlineStr"/>
    </row>
    <row r="2933" ht="15" customHeight="1">
      <c r="A2933" t="inlineStr">
        <is>
          <t>A 19880-2023</t>
        </is>
      </c>
      <c r="B2933" s="1" t="n">
        <v>45054</v>
      </c>
      <c r="C2933" s="1" t="n">
        <v>45962</v>
      </c>
      <c r="D2933" t="inlineStr">
        <is>
          <t>SKÅNE LÄN</t>
        </is>
      </c>
      <c r="E2933" t="inlineStr">
        <is>
          <t>KRISTIANSTAD</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24047-2025</t>
        </is>
      </c>
      <c r="B2934" s="1" t="n">
        <v>45796.49528935185</v>
      </c>
      <c r="C2934" s="1" t="n">
        <v>45962</v>
      </c>
      <c r="D2934" t="inlineStr">
        <is>
          <t>SKÅNE LÄN</t>
        </is>
      </c>
      <c r="E2934" t="inlineStr">
        <is>
          <t>HÄSSLEHOLM</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56877-2021</t>
        </is>
      </c>
      <c r="B2935" s="1" t="n">
        <v>44481.81486111111</v>
      </c>
      <c r="C2935" s="1" t="n">
        <v>45962</v>
      </c>
      <c r="D2935" t="inlineStr">
        <is>
          <t>SKÅNE LÄN</t>
        </is>
      </c>
      <c r="E2935" t="inlineStr">
        <is>
          <t>OSBY</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45609-2023</t>
        </is>
      </c>
      <c r="B2936" s="1" t="n">
        <v>45194</v>
      </c>
      <c r="C2936" s="1" t="n">
        <v>45962</v>
      </c>
      <c r="D2936" t="inlineStr">
        <is>
          <t>SKÅNE LÄN</t>
        </is>
      </c>
      <c r="E2936" t="inlineStr">
        <is>
          <t>KRISTIANSTAD</t>
        </is>
      </c>
      <c r="G2936" t="n">
        <v>4.2</v>
      </c>
      <c r="H2936" t="n">
        <v>0</v>
      </c>
      <c r="I2936" t="n">
        <v>0</v>
      </c>
      <c r="J2936" t="n">
        <v>0</v>
      </c>
      <c r="K2936" t="n">
        <v>0</v>
      </c>
      <c r="L2936" t="n">
        <v>0</v>
      </c>
      <c r="M2936" t="n">
        <v>0</v>
      </c>
      <c r="N2936" t="n">
        <v>0</v>
      </c>
      <c r="O2936" t="n">
        <v>0</v>
      </c>
      <c r="P2936" t="n">
        <v>0</v>
      </c>
      <c r="Q2936" t="n">
        <v>0</v>
      </c>
      <c r="R2936" s="2" t="inlineStr"/>
    </row>
    <row r="2937" ht="15" customHeight="1">
      <c r="A2937" t="inlineStr">
        <is>
          <t>A 25563-2021</t>
        </is>
      </c>
      <c r="B2937" s="1" t="n">
        <v>44343</v>
      </c>
      <c r="C2937" s="1" t="n">
        <v>45962</v>
      </c>
      <c r="D2937" t="inlineStr">
        <is>
          <t>SKÅNE LÄN</t>
        </is>
      </c>
      <c r="E2937" t="inlineStr">
        <is>
          <t>BROMÖLLA</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16258-2024</t>
        </is>
      </c>
      <c r="B2938" s="1" t="n">
        <v>45407</v>
      </c>
      <c r="C2938" s="1" t="n">
        <v>45962</v>
      </c>
      <c r="D2938" t="inlineStr">
        <is>
          <t>SKÅNE LÄN</t>
        </is>
      </c>
      <c r="E2938" t="inlineStr">
        <is>
          <t>SIMRISHAMN</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24675-2025</t>
        </is>
      </c>
      <c r="B2939" s="1" t="n">
        <v>45798.653125</v>
      </c>
      <c r="C2939" s="1" t="n">
        <v>45962</v>
      </c>
      <c r="D2939" t="inlineStr">
        <is>
          <t>SKÅNE LÄN</t>
        </is>
      </c>
      <c r="E2939" t="inlineStr">
        <is>
          <t>HÄSSLEHOLM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12558-2023</t>
        </is>
      </c>
      <c r="B2940" s="1" t="n">
        <v>45000.36103009259</v>
      </c>
      <c r="C2940" s="1" t="n">
        <v>45962</v>
      </c>
      <c r="D2940" t="inlineStr">
        <is>
          <t>SKÅNE LÄN</t>
        </is>
      </c>
      <c r="E2940" t="inlineStr">
        <is>
          <t>HÄSSLEHOLM</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12615-2023</t>
        </is>
      </c>
      <c r="B2941" s="1" t="n">
        <v>45000.46664351852</v>
      </c>
      <c r="C2941" s="1" t="n">
        <v>45962</v>
      </c>
      <c r="D2941" t="inlineStr">
        <is>
          <t>SKÅNE LÄN</t>
        </is>
      </c>
      <c r="E2941" t="inlineStr">
        <is>
          <t>KRISTIANSTAD</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12625-2021</t>
        </is>
      </c>
      <c r="B2942" s="1" t="n">
        <v>44270.4590625</v>
      </c>
      <c r="C2942" s="1" t="n">
        <v>45962</v>
      </c>
      <c r="D2942" t="inlineStr">
        <is>
          <t>SKÅNE LÄN</t>
        </is>
      </c>
      <c r="E2942" t="inlineStr">
        <is>
          <t>ÖRKELLJUNGA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45981-2023</t>
        </is>
      </c>
      <c r="B2943" s="1" t="n">
        <v>45189</v>
      </c>
      <c r="C2943" s="1" t="n">
        <v>45962</v>
      </c>
      <c r="D2943" t="inlineStr">
        <is>
          <t>SKÅNE LÄN</t>
        </is>
      </c>
      <c r="E2943" t="inlineStr">
        <is>
          <t>SJÖBO</t>
        </is>
      </c>
      <c r="F2943" t="inlineStr">
        <is>
          <t>Sveaskog</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45729-2024</t>
        </is>
      </c>
      <c r="B2944" s="1" t="n">
        <v>45579</v>
      </c>
      <c r="C2944" s="1" t="n">
        <v>45962</v>
      </c>
      <c r="D2944" t="inlineStr">
        <is>
          <t>SKÅNE LÄN</t>
        </is>
      </c>
      <c r="E2944" t="inlineStr">
        <is>
          <t>TOMELILLA</t>
        </is>
      </c>
      <c r="G2944" t="n">
        <v>10.1</v>
      </c>
      <c r="H2944" t="n">
        <v>0</v>
      </c>
      <c r="I2944" t="n">
        <v>0</v>
      </c>
      <c r="J2944" t="n">
        <v>0</v>
      </c>
      <c r="K2944" t="n">
        <v>0</v>
      </c>
      <c r="L2944" t="n">
        <v>0</v>
      </c>
      <c r="M2944" t="n">
        <v>0</v>
      </c>
      <c r="N2944" t="n">
        <v>0</v>
      </c>
      <c r="O2944" t="n">
        <v>0</v>
      </c>
      <c r="P2944" t="n">
        <v>0</v>
      </c>
      <c r="Q2944" t="n">
        <v>0</v>
      </c>
      <c r="R2944" s="2" t="inlineStr"/>
    </row>
    <row r="2945" ht="15" customHeight="1">
      <c r="A2945" t="inlineStr">
        <is>
          <t>A 39915-2023</t>
        </is>
      </c>
      <c r="B2945" s="1" t="n">
        <v>45168.4684375</v>
      </c>
      <c r="C2945" s="1" t="n">
        <v>45962</v>
      </c>
      <c r="D2945" t="inlineStr">
        <is>
          <t>SKÅNE LÄN</t>
        </is>
      </c>
      <c r="E2945" t="inlineStr">
        <is>
          <t>HÄSSLEHOLM</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38440-2024</t>
        </is>
      </c>
      <c r="B2946" s="1" t="n">
        <v>45546</v>
      </c>
      <c r="C2946" s="1" t="n">
        <v>45962</v>
      </c>
      <c r="D2946" t="inlineStr">
        <is>
          <t>SKÅNE LÄN</t>
        </is>
      </c>
      <c r="E2946" t="inlineStr">
        <is>
          <t>KRISTIANSTAD</t>
        </is>
      </c>
      <c r="G2946" t="n">
        <v>6.2</v>
      </c>
      <c r="H2946" t="n">
        <v>0</v>
      </c>
      <c r="I2946" t="n">
        <v>0</v>
      </c>
      <c r="J2946" t="n">
        <v>0</v>
      </c>
      <c r="K2946" t="n">
        <v>0</v>
      </c>
      <c r="L2946" t="n">
        <v>0</v>
      </c>
      <c r="M2946" t="n">
        <v>0</v>
      </c>
      <c r="N2946" t="n">
        <v>0</v>
      </c>
      <c r="O2946" t="n">
        <v>0</v>
      </c>
      <c r="P2946" t="n">
        <v>0</v>
      </c>
      <c r="Q2946" t="n">
        <v>0</v>
      </c>
      <c r="R2946" s="2" t="inlineStr"/>
    </row>
    <row r="2947" ht="15" customHeight="1">
      <c r="A2947" t="inlineStr">
        <is>
          <t>A 30911-2024</t>
        </is>
      </c>
      <c r="B2947" s="1" t="n">
        <v>45498.5925</v>
      </c>
      <c r="C2947" s="1" t="n">
        <v>45962</v>
      </c>
      <c r="D2947" t="inlineStr">
        <is>
          <t>SKÅNE LÄN</t>
        </is>
      </c>
      <c r="E2947" t="inlineStr">
        <is>
          <t>SIMRISHAMN</t>
        </is>
      </c>
      <c r="F2947" t="inlineStr">
        <is>
          <t>Övriga Aktiebolag</t>
        </is>
      </c>
      <c r="G2947" t="n">
        <v>2.6</v>
      </c>
      <c r="H2947" t="n">
        <v>0</v>
      </c>
      <c r="I2947" t="n">
        <v>0</v>
      </c>
      <c r="J2947" t="n">
        <v>0</v>
      </c>
      <c r="K2947" t="n">
        <v>0</v>
      </c>
      <c r="L2947" t="n">
        <v>0</v>
      </c>
      <c r="M2947" t="n">
        <v>0</v>
      </c>
      <c r="N2947" t="n">
        <v>0</v>
      </c>
      <c r="O2947" t="n">
        <v>0</v>
      </c>
      <c r="P2947" t="n">
        <v>0</v>
      </c>
      <c r="Q2947" t="n">
        <v>0</v>
      </c>
      <c r="R2947" s="2" t="inlineStr"/>
    </row>
    <row r="2948" ht="15" customHeight="1">
      <c r="A2948" t="inlineStr">
        <is>
          <t>A 42735-2024</t>
        </is>
      </c>
      <c r="B2948" s="1" t="n">
        <v>45566.47274305556</v>
      </c>
      <c r="C2948" s="1" t="n">
        <v>45962</v>
      </c>
      <c r="D2948" t="inlineStr">
        <is>
          <t>SKÅNE LÄN</t>
        </is>
      </c>
      <c r="E2948" t="inlineStr">
        <is>
          <t>HÄSSLEHOLM</t>
        </is>
      </c>
      <c r="G2948" t="n">
        <v>3.7</v>
      </c>
      <c r="H2948" t="n">
        <v>0</v>
      </c>
      <c r="I2948" t="n">
        <v>0</v>
      </c>
      <c r="J2948" t="n">
        <v>0</v>
      </c>
      <c r="K2948" t="n">
        <v>0</v>
      </c>
      <c r="L2948" t="n">
        <v>0</v>
      </c>
      <c r="M2948" t="n">
        <v>0</v>
      </c>
      <c r="N2948" t="n">
        <v>0</v>
      </c>
      <c r="O2948" t="n">
        <v>0</v>
      </c>
      <c r="P2948" t="n">
        <v>0</v>
      </c>
      <c r="Q2948" t="n">
        <v>0</v>
      </c>
      <c r="R2948" s="2" t="inlineStr"/>
    </row>
    <row r="2949" ht="15" customHeight="1">
      <c r="A2949" t="inlineStr">
        <is>
          <t>A 44960-2023</t>
        </is>
      </c>
      <c r="B2949" s="1" t="n">
        <v>45190</v>
      </c>
      <c r="C2949" s="1" t="n">
        <v>45962</v>
      </c>
      <c r="D2949" t="inlineStr">
        <is>
          <t>SKÅNE LÄN</t>
        </is>
      </c>
      <c r="E2949" t="inlineStr">
        <is>
          <t>HÖÖR</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55522-2024</t>
        </is>
      </c>
      <c r="B2950" s="1" t="n">
        <v>45622</v>
      </c>
      <c r="C2950" s="1" t="n">
        <v>45962</v>
      </c>
      <c r="D2950" t="inlineStr">
        <is>
          <t>SKÅNE LÄN</t>
        </is>
      </c>
      <c r="E2950" t="inlineStr">
        <is>
          <t>HÄSSLEHOLM</t>
        </is>
      </c>
      <c r="G2950" t="n">
        <v>5.6</v>
      </c>
      <c r="H2950" t="n">
        <v>0</v>
      </c>
      <c r="I2950" t="n">
        <v>0</v>
      </c>
      <c r="J2950" t="n">
        <v>0</v>
      </c>
      <c r="K2950" t="n">
        <v>0</v>
      </c>
      <c r="L2950" t="n">
        <v>0</v>
      </c>
      <c r="M2950" t="n">
        <v>0</v>
      </c>
      <c r="N2950" t="n">
        <v>0</v>
      </c>
      <c r="O2950" t="n">
        <v>0</v>
      </c>
      <c r="P2950" t="n">
        <v>0</v>
      </c>
      <c r="Q2950" t="n">
        <v>0</v>
      </c>
      <c r="R2950" s="2" t="inlineStr"/>
    </row>
    <row r="2951" ht="15" customHeight="1">
      <c r="A2951" t="inlineStr">
        <is>
          <t>A 4080-2024</t>
        </is>
      </c>
      <c r="B2951" s="1" t="n">
        <v>45323</v>
      </c>
      <c r="C2951" s="1" t="n">
        <v>45962</v>
      </c>
      <c r="D2951" t="inlineStr">
        <is>
          <t>SKÅNE LÄN</t>
        </is>
      </c>
      <c r="E2951" t="inlineStr">
        <is>
          <t>KRISTIANSTAD</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11146-2024</t>
        </is>
      </c>
      <c r="B2952" s="1" t="n">
        <v>45371.46622685185</v>
      </c>
      <c r="C2952" s="1" t="n">
        <v>45962</v>
      </c>
      <c r="D2952" t="inlineStr">
        <is>
          <t>SKÅNE LÄN</t>
        </is>
      </c>
      <c r="E2952" t="inlineStr">
        <is>
          <t>OSBY</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13475-2024</t>
        </is>
      </c>
      <c r="B2953" s="1" t="n">
        <v>45387.58354166667</v>
      </c>
      <c r="C2953" s="1" t="n">
        <v>45962</v>
      </c>
      <c r="D2953" t="inlineStr">
        <is>
          <t>SKÅNE LÄN</t>
        </is>
      </c>
      <c r="E2953" t="inlineStr">
        <is>
          <t>HÖÖR</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32826-2024</t>
        </is>
      </c>
      <c r="B2954" s="1" t="n">
        <v>45516.59056712963</v>
      </c>
      <c r="C2954" s="1" t="n">
        <v>45962</v>
      </c>
      <c r="D2954" t="inlineStr">
        <is>
          <t>SKÅNE LÄN</t>
        </is>
      </c>
      <c r="E2954" t="inlineStr">
        <is>
          <t>HÄSSLEHOLM</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4119-2024</t>
        </is>
      </c>
      <c r="B2955" s="1" t="n">
        <v>45323.67920138889</v>
      </c>
      <c r="C2955" s="1" t="n">
        <v>45962</v>
      </c>
      <c r="D2955" t="inlineStr">
        <is>
          <t>SKÅNE LÄN</t>
        </is>
      </c>
      <c r="E2955" t="inlineStr">
        <is>
          <t>HÄSSLEHOLM</t>
        </is>
      </c>
      <c r="G2955" t="n">
        <v>0.8</v>
      </c>
      <c r="H2955" t="n">
        <v>0</v>
      </c>
      <c r="I2955" t="n">
        <v>0</v>
      </c>
      <c r="J2955" t="n">
        <v>0</v>
      </c>
      <c r="K2955" t="n">
        <v>0</v>
      </c>
      <c r="L2955" t="n">
        <v>0</v>
      </c>
      <c r="M2955" t="n">
        <v>0</v>
      </c>
      <c r="N2955" t="n">
        <v>0</v>
      </c>
      <c r="O2955" t="n">
        <v>0</v>
      </c>
      <c r="P2955" t="n">
        <v>0</v>
      </c>
      <c r="Q2955" t="n">
        <v>0</v>
      </c>
      <c r="R2955" s="2" t="inlineStr"/>
    </row>
    <row r="2956" ht="15" customHeight="1">
      <c r="A2956" t="inlineStr">
        <is>
          <t>A 4120-2024</t>
        </is>
      </c>
      <c r="B2956" s="1" t="n">
        <v>45323.67927083333</v>
      </c>
      <c r="C2956" s="1" t="n">
        <v>45962</v>
      </c>
      <c r="D2956" t="inlineStr">
        <is>
          <t>SKÅNE LÄN</t>
        </is>
      </c>
      <c r="E2956" t="inlineStr">
        <is>
          <t>HÖÖR</t>
        </is>
      </c>
      <c r="G2956" t="n">
        <v>5.1</v>
      </c>
      <c r="H2956" t="n">
        <v>0</v>
      </c>
      <c r="I2956" t="n">
        <v>0</v>
      </c>
      <c r="J2956" t="n">
        <v>0</v>
      </c>
      <c r="K2956" t="n">
        <v>0</v>
      </c>
      <c r="L2956" t="n">
        <v>0</v>
      </c>
      <c r="M2956" t="n">
        <v>0</v>
      </c>
      <c r="N2956" t="n">
        <v>0</v>
      </c>
      <c r="O2956" t="n">
        <v>0</v>
      </c>
      <c r="P2956" t="n">
        <v>0</v>
      </c>
      <c r="Q2956" t="n">
        <v>0</v>
      </c>
      <c r="R2956" s="2" t="inlineStr"/>
    </row>
    <row r="2957" ht="15" customHeight="1">
      <c r="A2957" t="inlineStr">
        <is>
          <t>A 8177-2022</t>
        </is>
      </c>
      <c r="B2957" s="1" t="n">
        <v>44607</v>
      </c>
      <c r="C2957" s="1" t="n">
        <v>45962</v>
      </c>
      <c r="D2957" t="inlineStr">
        <is>
          <t>SKÅNE LÄN</t>
        </is>
      </c>
      <c r="E2957" t="inlineStr">
        <is>
          <t>HÄSSLEHOLM</t>
        </is>
      </c>
      <c r="F2957" t="inlineStr">
        <is>
          <t>Kyrkan</t>
        </is>
      </c>
      <c r="G2957" t="n">
        <v>9.699999999999999</v>
      </c>
      <c r="H2957" t="n">
        <v>0</v>
      </c>
      <c r="I2957" t="n">
        <v>0</v>
      </c>
      <c r="J2957" t="n">
        <v>0</v>
      </c>
      <c r="K2957" t="n">
        <v>0</v>
      </c>
      <c r="L2957" t="n">
        <v>0</v>
      </c>
      <c r="M2957" t="n">
        <v>0</v>
      </c>
      <c r="N2957" t="n">
        <v>0</v>
      </c>
      <c r="O2957" t="n">
        <v>0</v>
      </c>
      <c r="P2957" t="n">
        <v>0</v>
      </c>
      <c r="Q2957" t="n">
        <v>0</v>
      </c>
      <c r="R2957" s="2" t="inlineStr"/>
    </row>
    <row r="2958" ht="15" customHeight="1">
      <c r="A2958" t="inlineStr">
        <is>
          <t>A 25464-2022</t>
        </is>
      </c>
      <c r="B2958" s="1" t="n">
        <v>44729</v>
      </c>
      <c r="C2958" s="1" t="n">
        <v>45962</v>
      </c>
      <c r="D2958" t="inlineStr">
        <is>
          <t>SKÅNE LÄN</t>
        </is>
      </c>
      <c r="E2958" t="inlineStr">
        <is>
          <t>HÄSSLEHOLM</t>
        </is>
      </c>
      <c r="G2958" t="n">
        <v>21</v>
      </c>
      <c r="H2958" t="n">
        <v>0</v>
      </c>
      <c r="I2958" t="n">
        <v>0</v>
      </c>
      <c r="J2958" t="n">
        <v>0</v>
      </c>
      <c r="K2958" t="n">
        <v>0</v>
      </c>
      <c r="L2958" t="n">
        <v>0</v>
      </c>
      <c r="M2958" t="n">
        <v>0</v>
      </c>
      <c r="N2958" t="n">
        <v>0</v>
      </c>
      <c r="O2958" t="n">
        <v>0</v>
      </c>
      <c r="P2958" t="n">
        <v>0</v>
      </c>
      <c r="Q2958" t="n">
        <v>0</v>
      </c>
      <c r="R2958" s="2" t="inlineStr"/>
    </row>
    <row r="2959" ht="15" customHeight="1">
      <c r="A2959" t="inlineStr">
        <is>
          <t>A 24898-2025</t>
        </is>
      </c>
      <c r="B2959" s="1" t="n">
        <v>45799.51834490741</v>
      </c>
      <c r="C2959" s="1" t="n">
        <v>45962</v>
      </c>
      <c r="D2959" t="inlineStr">
        <is>
          <t>SKÅNE LÄN</t>
        </is>
      </c>
      <c r="E2959" t="inlineStr">
        <is>
          <t>OSBY</t>
        </is>
      </c>
      <c r="G2959" t="n">
        <v>5.8</v>
      </c>
      <c r="H2959" t="n">
        <v>0</v>
      </c>
      <c r="I2959" t="n">
        <v>0</v>
      </c>
      <c r="J2959" t="n">
        <v>0</v>
      </c>
      <c r="K2959" t="n">
        <v>0</v>
      </c>
      <c r="L2959" t="n">
        <v>0</v>
      </c>
      <c r="M2959" t="n">
        <v>0</v>
      </c>
      <c r="N2959" t="n">
        <v>0</v>
      </c>
      <c r="O2959" t="n">
        <v>0</v>
      </c>
      <c r="P2959" t="n">
        <v>0</v>
      </c>
      <c r="Q2959" t="n">
        <v>0</v>
      </c>
      <c r="R2959" s="2" t="inlineStr"/>
    </row>
    <row r="2960" ht="15" customHeight="1">
      <c r="A2960" t="inlineStr">
        <is>
          <t>A 24513-2025</t>
        </is>
      </c>
      <c r="B2960" s="1" t="n">
        <v>45798.40712962963</v>
      </c>
      <c r="C2960" s="1" t="n">
        <v>45962</v>
      </c>
      <c r="D2960" t="inlineStr">
        <is>
          <t>SKÅNE LÄN</t>
        </is>
      </c>
      <c r="E2960" t="inlineStr">
        <is>
          <t>SVALÖV</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6835-2023</t>
        </is>
      </c>
      <c r="B2961" s="1" t="n">
        <v>44967</v>
      </c>
      <c r="C2961" s="1" t="n">
        <v>45962</v>
      </c>
      <c r="D2961" t="inlineStr">
        <is>
          <t>SKÅNE LÄN</t>
        </is>
      </c>
      <c r="E2961" t="inlineStr">
        <is>
          <t>HÄSSLEHOLM</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67083-2020</t>
        </is>
      </c>
      <c r="B2962" s="1" t="n">
        <v>44180</v>
      </c>
      <c r="C2962" s="1" t="n">
        <v>45962</v>
      </c>
      <c r="D2962" t="inlineStr">
        <is>
          <t>SKÅNE LÄN</t>
        </is>
      </c>
      <c r="E2962" t="inlineStr">
        <is>
          <t>KRISTIANSTAD</t>
        </is>
      </c>
      <c r="G2962" t="n">
        <v>4.1</v>
      </c>
      <c r="H2962" t="n">
        <v>0</v>
      </c>
      <c r="I2962" t="n">
        <v>0</v>
      </c>
      <c r="J2962" t="n">
        <v>0</v>
      </c>
      <c r="K2962" t="n">
        <v>0</v>
      </c>
      <c r="L2962" t="n">
        <v>0</v>
      </c>
      <c r="M2962" t="n">
        <v>0</v>
      </c>
      <c r="N2962" t="n">
        <v>0</v>
      </c>
      <c r="O2962" t="n">
        <v>0</v>
      </c>
      <c r="P2962" t="n">
        <v>0</v>
      </c>
      <c r="Q2962" t="n">
        <v>0</v>
      </c>
      <c r="R2962" s="2" t="inlineStr"/>
    </row>
    <row r="2963" ht="15" customHeight="1">
      <c r="A2963" t="inlineStr">
        <is>
          <t>A 61276-2020</t>
        </is>
      </c>
      <c r="B2963" s="1" t="n">
        <v>44155</v>
      </c>
      <c r="C2963" s="1" t="n">
        <v>45962</v>
      </c>
      <c r="D2963" t="inlineStr">
        <is>
          <t>SKÅNE LÄN</t>
        </is>
      </c>
      <c r="E2963" t="inlineStr">
        <is>
          <t>ÖSTRA GÖINGE</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39603-2023</t>
        </is>
      </c>
      <c r="B2964" s="1" t="n">
        <v>45167.46493055556</v>
      </c>
      <c r="C2964" s="1" t="n">
        <v>45962</v>
      </c>
      <c r="D2964" t="inlineStr">
        <is>
          <t>SKÅNE LÄN</t>
        </is>
      </c>
      <c r="E2964" t="inlineStr">
        <is>
          <t>HÖÖR</t>
        </is>
      </c>
      <c r="G2964" t="n">
        <v>2.6</v>
      </c>
      <c r="H2964" t="n">
        <v>0</v>
      </c>
      <c r="I2964" t="n">
        <v>0</v>
      </c>
      <c r="J2964" t="n">
        <v>0</v>
      </c>
      <c r="K2964" t="n">
        <v>0</v>
      </c>
      <c r="L2964" t="n">
        <v>0</v>
      </c>
      <c r="M2964" t="n">
        <v>0</v>
      </c>
      <c r="N2964" t="n">
        <v>0</v>
      </c>
      <c r="O2964" t="n">
        <v>0</v>
      </c>
      <c r="P2964" t="n">
        <v>0</v>
      </c>
      <c r="Q2964" t="n">
        <v>0</v>
      </c>
      <c r="R2964" s="2" t="inlineStr"/>
    </row>
    <row r="2965" ht="15" customHeight="1">
      <c r="A2965" t="inlineStr">
        <is>
          <t>A 47757-2024</t>
        </is>
      </c>
      <c r="B2965" s="1" t="n">
        <v>45588.55075231481</v>
      </c>
      <c r="C2965" s="1" t="n">
        <v>45962</v>
      </c>
      <c r="D2965" t="inlineStr">
        <is>
          <t>SKÅNE LÄN</t>
        </is>
      </c>
      <c r="E2965" t="inlineStr">
        <is>
          <t>HÄSSLEHOLM</t>
        </is>
      </c>
      <c r="G2965" t="n">
        <v>5.5</v>
      </c>
      <c r="H2965" t="n">
        <v>0</v>
      </c>
      <c r="I2965" t="n">
        <v>0</v>
      </c>
      <c r="J2965" t="n">
        <v>0</v>
      </c>
      <c r="K2965" t="n">
        <v>0</v>
      </c>
      <c r="L2965" t="n">
        <v>0</v>
      </c>
      <c r="M2965" t="n">
        <v>0</v>
      </c>
      <c r="N2965" t="n">
        <v>0</v>
      </c>
      <c r="O2965" t="n">
        <v>0</v>
      </c>
      <c r="P2965" t="n">
        <v>0</v>
      </c>
      <c r="Q2965" t="n">
        <v>0</v>
      </c>
      <c r="R2965" s="2" t="inlineStr"/>
    </row>
    <row r="2966" ht="15" customHeight="1">
      <c r="A2966" t="inlineStr">
        <is>
          <t>A 57832-2020</t>
        </is>
      </c>
      <c r="B2966" s="1" t="n">
        <v>44141</v>
      </c>
      <c r="C2966" s="1" t="n">
        <v>45962</v>
      </c>
      <c r="D2966" t="inlineStr">
        <is>
          <t>SKÅNE LÄN</t>
        </is>
      </c>
      <c r="E2966" t="inlineStr">
        <is>
          <t>KRISTIANSTAD</t>
        </is>
      </c>
      <c r="G2966" t="n">
        <v>3.3</v>
      </c>
      <c r="H2966" t="n">
        <v>0</v>
      </c>
      <c r="I2966" t="n">
        <v>0</v>
      </c>
      <c r="J2966" t="n">
        <v>0</v>
      </c>
      <c r="K2966" t="n">
        <v>0</v>
      </c>
      <c r="L2966" t="n">
        <v>0</v>
      </c>
      <c r="M2966" t="n">
        <v>0</v>
      </c>
      <c r="N2966" t="n">
        <v>0</v>
      </c>
      <c r="O2966" t="n">
        <v>0</v>
      </c>
      <c r="P2966" t="n">
        <v>0</v>
      </c>
      <c r="Q2966" t="n">
        <v>0</v>
      </c>
      <c r="R2966" s="2" t="inlineStr"/>
    </row>
    <row r="2967" ht="15" customHeight="1">
      <c r="A2967" t="inlineStr">
        <is>
          <t>A 43932-2023</t>
        </is>
      </c>
      <c r="B2967" s="1" t="n">
        <v>45187</v>
      </c>
      <c r="C2967" s="1" t="n">
        <v>45962</v>
      </c>
      <c r="D2967" t="inlineStr">
        <is>
          <t>SKÅNE LÄN</t>
        </is>
      </c>
      <c r="E2967" t="inlineStr">
        <is>
          <t>HÖRBY</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43935-2023</t>
        </is>
      </c>
      <c r="B2968" s="1" t="n">
        <v>45187</v>
      </c>
      <c r="C2968" s="1" t="n">
        <v>45962</v>
      </c>
      <c r="D2968" t="inlineStr">
        <is>
          <t>SKÅNE LÄN</t>
        </is>
      </c>
      <c r="E2968" t="inlineStr">
        <is>
          <t>HÖRBY</t>
        </is>
      </c>
      <c r="G2968" t="n">
        <v>2.9</v>
      </c>
      <c r="H2968" t="n">
        <v>0</v>
      </c>
      <c r="I2968" t="n">
        <v>0</v>
      </c>
      <c r="J2968" t="n">
        <v>0</v>
      </c>
      <c r="K2968" t="n">
        <v>0</v>
      </c>
      <c r="L2968" t="n">
        <v>0</v>
      </c>
      <c r="M2968" t="n">
        <v>0</v>
      </c>
      <c r="N2968" t="n">
        <v>0</v>
      </c>
      <c r="O2968" t="n">
        <v>0</v>
      </c>
      <c r="P2968" t="n">
        <v>0</v>
      </c>
      <c r="Q2968" t="n">
        <v>0</v>
      </c>
      <c r="R2968" s="2" t="inlineStr"/>
    </row>
    <row r="2969" ht="15" customHeight="1">
      <c r="A2969" t="inlineStr">
        <is>
          <t>A 3834-2021</t>
        </is>
      </c>
      <c r="B2969" s="1" t="n">
        <v>44217</v>
      </c>
      <c r="C2969" s="1" t="n">
        <v>45962</v>
      </c>
      <c r="D2969" t="inlineStr">
        <is>
          <t>SKÅNE LÄN</t>
        </is>
      </c>
      <c r="E2969" t="inlineStr">
        <is>
          <t>OSBY</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16550-2025</t>
        </is>
      </c>
      <c r="B2970" s="1" t="n">
        <v>45751.69412037037</v>
      </c>
      <c r="C2970" s="1" t="n">
        <v>45962</v>
      </c>
      <c r="D2970" t="inlineStr">
        <is>
          <t>SKÅNE LÄN</t>
        </is>
      </c>
      <c r="E2970" t="inlineStr">
        <is>
          <t>HÄSSLEHOLM</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20058-2023</t>
        </is>
      </c>
      <c r="B2971" s="1" t="n">
        <v>45054.68476851852</v>
      </c>
      <c r="C2971" s="1" t="n">
        <v>45962</v>
      </c>
      <c r="D2971" t="inlineStr">
        <is>
          <t>SKÅNE LÄN</t>
        </is>
      </c>
      <c r="E2971" t="inlineStr">
        <is>
          <t>HÄSSLEHOLM</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19880-2024</t>
        </is>
      </c>
      <c r="B2972" s="1" t="n">
        <v>45433</v>
      </c>
      <c r="C2972" s="1" t="n">
        <v>45962</v>
      </c>
      <c r="D2972" t="inlineStr">
        <is>
          <t>SKÅNE LÄN</t>
        </is>
      </c>
      <c r="E2972" t="inlineStr">
        <is>
          <t>SJÖBO</t>
        </is>
      </c>
      <c r="G2972" t="n">
        <v>6.5</v>
      </c>
      <c r="H2972" t="n">
        <v>0</v>
      </c>
      <c r="I2972" t="n">
        <v>0</v>
      </c>
      <c r="J2972" t="n">
        <v>0</v>
      </c>
      <c r="K2972" t="n">
        <v>0</v>
      </c>
      <c r="L2972" t="n">
        <v>0</v>
      </c>
      <c r="M2972" t="n">
        <v>0</v>
      </c>
      <c r="N2972" t="n">
        <v>0</v>
      </c>
      <c r="O2972" t="n">
        <v>0</v>
      </c>
      <c r="P2972" t="n">
        <v>0</v>
      </c>
      <c r="Q2972" t="n">
        <v>0</v>
      </c>
      <c r="R2972" s="2" t="inlineStr"/>
    </row>
    <row r="2973" ht="15" customHeight="1">
      <c r="A2973" t="inlineStr">
        <is>
          <t>A 32512-2024</t>
        </is>
      </c>
      <c r="B2973" s="1" t="n">
        <v>45513.45613425926</v>
      </c>
      <c r="C2973" s="1" t="n">
        <v>45962</v>
      </c>
      <c r="D2973" t="inlineStr">
        <is>
          <t>SKÅNE LÄN</t>
        </is>
      </c>
      <c r="E2973" t="inlineStr">
        <is>
          <t>HÄSSLEHOLM</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19643-2024</t>
        </is>
      </c>
      <c r="B2974" s="1" t="n">
        <v>45432</v>
      </c>
      <c r="C2974" s="1" t="n">
        <v>45962</v>
      </c>
      <c r="D2974" t="inlineStr">
        <is>
          <t>SKÅNE LÄN</t>
        </is>
      </c>
      <c r="E2974" t="inlineStr">
        <is>
          <t>ÖRKELLJUNGA</t>
        </is>
      </c>
      <c r="F2974" t="inlineStr">
        <is>
          <t>Kommuner</t>
        </is>
      </c>
      <c r="G2974" t="n">
        <v>2.9</v>
      </c>
      <c r="H2974" t="n">
        <v>0</v>
      </c>
      <c r="I2974" t="n">
        <v>0</v>
      </c>
      <c r="J2974" t="n">
        <v>0</v>
      </c>
      <c r="K2974" t="n">
        <v>0</v>
      </c>
      <c r="L2974" t="n">
        <v>0</v>
      </c>
      <c r="M2974" t="n">
        <v>0</v>
      </c>
      <c r="N2974" t="n">
        <v>0</v>
      </c>
      <c r="O2974" t="n">
        <v>0</v>
      </c>
      <c r="P2974" t="n">
        <v>0</v>
      </c>
      <c r="Q2974" t="n">
        <v>0</v>
      </c>
      <c r="R2974" s="2" t="inlineStr"/>
    </row>
    <row r="2975" ht="15" customHeight="1">
      <c r="A2975" t="inlineStr">
        <is>
          <t>A 54753-2022</t>
        </is>
      </c>
      <c r="B2975" s="1" t="n">
        <v>44883</v>
      </c>
      <c r="C2975" s="1" t="n">
        <v>45962</v>
      </c>
      <c r="D2975" t="inlineStr">
        <is>
          <t>SKÅNE LÄN</t>
        </is>
      </c>
      <c r="E2975" t="inlineStr">
        <is>
          <t>HÖÖR</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44893-2024</t>
        </is>
      </c>
      <c r="B2976" s="1" t="n">
        <v>45575.36310185185</v>
      </c>
      <c r="C2976" s="1" t="n">
        <v>45962</v>
      </c>
      <c r="D2976" t="inlineStr">
        <is>
          <t>SKÅNE LÄN</t>
        </is>
      </c>
      <c r="E2976" t="inlineStr">
        <is>
          <t>SJÖBO</t>
        </is>
      </c>
      <c r="G2976" t="n">
        <v>1.4</v>
      </c>
      <c r="H2976" t="n">
        <v>0</v>
      </c>
      <c r="I2976" t="n">
        <v>0</v>
      </c>
      <c r="J2976" t="n">
        <v>0</v>
      </c>
      <c r="K2976" t="n">
        <v>0</v>
      </c>
      <c r="L2976" t="n">
        <v>0</v>
      </c>
      <c r="M2976" t="n">
        <v>0</v>
      </c>
      <c r="N2976" t="n">
        <v>0</v>
      </c>
      <c r="O2976" t="n">
        <v>0</v>
      </c>
      <c r="P2976" t="n">
        <v>0</v>
      </c>
      <c r="Q2976" t="n">
        <v>0</v>
      </c>
      <c r="R2976" s="2" t="inlineStr"/>
    </row>
    <row r="2977" ht="15" customHeight="1">
      <c r="A2977" t="inlineStr">
        <is>
          <t>A 27529-2022</t>
        </is>
      </c>
      <c r="B2977" s="1" t="n">
        <v>44742</v>
      </c>
      <c r="C2977" s="1" t="n">
        <v>45962</v>
      </c>
      <c r="D2977" t="inlineStr">
        <is>
          <t>SKÅNE LÄN</t>
        </is>
      </c>
      <c r="E2977" t="inlineStr">
        <is>
          <t>KRISTIANSTAD</t>
        </is>
      </c>
      <c r="G2977" t="n">
        <v>3.3</v>
      </c>
      <c r="H2977" t="n">
        <v>0</v>
      </c>
      <c r="I2977" t="n">
        <v>0</v>
      </c>
      <c r="J2977" t="n">
        <v>0</v>
      </c>
      <c r="K2977" t="n">
        <v>0</v>
      </c>
      <c r="L2977" t="n">
        <v>0</v>
      </c>
      <c r="M2977" t="n">
        <v>0</v>
      </c>
      <c r="N2977" t="n">
        <v>0</v>
      </c>
      <c r="O2977" t="n">
        <v>0</v>
      </c>
      <c r="P2977" t="n">
        <v>0</v>
      </c>
      <c r="Q2977" t="n">
        <v>0</v>
      </c>
      <c r="R2977" s="2" t="inlineStr"/>
    </row>
    <row r="2978" ht="15" customHeight="1">
      <c r="A2978" t="inlineStr">
        <is>
          <t>A 8619-2023</t>
        </is>
      </c>
      <c r="B2978" s="1" t="n">
        <v>44977.81979166667</v>
      </c>
      <c r="C2978" s="1" t="n">
        <v>45962</v>
      </c>
      <c r="D2978" t="inlineStr">
        <is>
          <t>SKÅNE LÄN</t>
        </is>
      </c>
      <c r="E2978" t="inlineStr">
        <is>
          <t>HÄSSLEHOLM</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9543-2025</t>
        </is>
      </c>
      <c r="B2979" s="1" t="n">
        <v>45715</v>
      </c>
      <c r="C2979" s="1" t="n">
        <v>45962</v>
      </c>
      <c r="D2979" t="inlineStr">
        <is>
          <t>SKÅNE LÄN</t>
        </is>
      </c>
      <c r="E2979" t="inlineStr">
        <is>
          <t>HÄSSLEHOLM</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19067-2025</t>
        </is>
      </c>
      <c r="B2980" s="1" t="n">
        <v>45765.43305555556</v>
      </c>
      <c r="C2980" s="1" t="n">
        <v>45962</v>
      </c>
      <c r="D2980" t="inlineStr">
        <is>
          <t>SKÅNE LÄN</t>
        </is>
      </c>
      <c r="E2980" t="inlineStr">
        <is>
          <t>ÖSTRA GÖINGE</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26536-2022</t>
        </is>
      </c>
      <c r="B2981" s="1" t="n">
        <v>44739.45496527778</v>
      </c>
      <c r="C2981" s="1" t="n">
        <v>45962</v>
      </c>
      <c r="D2981" t="inlineStr">
        <is>
          <t>SKÅNE LÄN</t>
        </is>
      </c>
      <c r="E2981" t="inlineStr">
        <is>
          <t>HÄSSLEHOLM</t>
        </is>
      </c>
      <c r="G2981" t="n">
        <v>3.1</v>
      </c>
      <c r="H2981" t="n">
        <v>0</v>
      </c>
      <c r="I2981" t="n">
        <v>0</v>
      </c>
      <c r="J2981" t="n">
        <v>0</v>
      </c>
      <c r="K2981" t="n">
        <v>0</v>
      </c>
      <c r="L2981" t="n">
        <v>0</v>
      </c>
      <c r="M2981" t="n">
        <v>0</v>
      </c>
      <c r="N2981" t="n">
        <v>0</v>
      </c>
      <c r="O2981" t="n">
        <v>0</v>
      </c>
      <c r="P2981" t="n">
        <v>0</v>
      </c>
      <c r="Q2981" t="n">
        <v>0</v>
      </c>
      <c r="R2981" s="2" t="inlineStr"/>
    </row>
    <row r="2982" ht="15" customHeight="1">
      <c r="A2982" t="inlineStr">
        <is>
          <t>A 34170-2023</t>
        </is>
      </c>
      <c r="B2982" s="1" t="n">
        <v>45138</v>
      </c>
      <c r="C2982" s="1" t="n">
        <v>45962</v>
      </c>
      <c r="D2982" t="inlineStr">
        <is>
          <t>SKÅNE LÄN</t>
        </is>
      </c>
      <c r="E2982" t="inlineStr">
        <is>
          <t>ESLÖV</t>
        </is>
      </c>
      <c r="G2982" t="n">
        <v>5.8</v>
      </c>
      <c r="H2982" t="n">
        <v>0</v>
      </c>
      <c r="I2982" t="n">
        <v>0</v>
      </c>
      <c r="J2982" t="n">
        <v>0</v>
      </c>
      <c r="K2982" t="n">
        <v>0</v>
      </c>
      <c r="L2982" t="n">
        <v>0</v>
      </c>
      <c r="M2982" t="n">
        <v>0</v>
      </c>
      <c r="N2982" t="n">
        <v>0</v>
      </c>
      <c r="O2982" t="n">
        <v>0</v>
      </c>
      <c r="P2982" t="n">
        <v>0</v>
      </c>
      <c r="Q2982" t="n">
        <v>0</v>
      </c>
      <c r="R2982" s="2" t="inlineStr"/>
    </row>
    <row r="2983" ht="15" customHeight="1">
      <c r="A2983" t="inlineStr">
        <is>
          <t>A 24985-2025</t>
        </is>
      </c>
      <c r="B2983" s="1" t="n">
        <v>45799.60256944445</v>
      </c>
      <c r="C2983" s="1" t="n">
        <v>45962</v>
      </c>
      <c r="D2983" t="inlineStr">
        <is>
          <t>SKÅNE LÄN</t>
        </is>
      </c>
      <c r="E2983" t="inlineStr">
        <is>
          <t>HÄSSLEHOLM</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8838-2024</t>
        </is>
      </c>
      <c r="B2984" s="1" t="n">
        <v>45356.69465277778</v>
      </c>
      <c r="C2984" s="1" t="n">
        <v>45962</v>
      </c>
      <c r="D2984" t="inlineStr">
        <is>
          <t>SKÅNE LÄN</t>
        </is>
      </c>
      <c r="E2984" t="inlineStr">
        <is>
          <t>OSBY</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38787-2024</t>
        </is>
      </c>
      <c r="B2985" s="1" t="n">
        <v>45547</v>
      </c>
      <c r="C2985" s="1" t="n">
        <v>45962</v>
      </c>
      <c r="D2985" t="inlineStr">
        <is>
          <t>SKÅNE LÄN</t>
        </is>
      </c>
      <c r="E2985" t="inlineStr">
        <is>
          <t>TOMELILLA</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10562-2025</t>
        </is>
      </c>
      <c r="B2986" s="1" t="n">
        <v>45721.52913194444</v>
      </c>
      <c r="C2986" s="1" t="n">
        <v>45962</v>
      </c>
      <c r="D2986" t="inlineStr">
        <is>
          <t>SKÅNE LÄN</t>
        </is>
      </c>
      <c r="E2986" t="inlineStr">
        <is>
          <t>HÄSSLEHOLM</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53067-2022</t>
        </is>
      </c>
      <c r="B2987" s="1" t="n">
        <v>44873</v>
      </c>
      <c r="C2987" s="1" t="n">
        <v>45962</v>
      </c>
      <c r="D2987" t="inlineStr">
        <is>
          <t>SKÅNE LÄN</t>
        </is>
      </c>
      <c r="E2987" t="inlineStr">
        <is>
          <t>HÄSSLEHOLM</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24795-2025</t>
        </is>
      </c>
      <c r="B2988" s="1" t="n">
        <v>45799.43543981481</v>
      </c>
      <c r="C2988" s="1" t="n">
        <v>45962</v>
      </c>
      <c r="D2988" t="inlineStr">
        <is>
          <t>SKÅNE LÄN</t>
        </is>
      </c>
      <c r="E2988" t="inlineStr">
        <is>
          <t>KRISTIANSTAD</t>
        </is>
      </c>
      <c r="F2988" t="inlineStr">
        <is>
          <t>Övriga Aktiebolag</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24952-2023</t>
        </is>
      </c>
      <c r="B2989" s="1" t="n">
        <v>45085.5793287037</v>
      </c>
      <c r="C2989" s="1" t="n">
        <v>45962</v>
      </c>
      <c r="D2989" t="inlineStr">
        <is>
          <t>SKÅNE LÄN</t>
        </is>
      </c>
      <c r="E2989" t="inlineStr">
        <is>
          <t>KRISTIANSTAD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47943-2023</t>
        </is>
      </c>
      <c r="B2990" s="1" t="n">
        <v>45204</v>
      </c>
      <c r="C2990" s="1" t="n">
        <v>45962</v>
      </c>
      <c r="D2990" t="inlineStr">
        <is>
          <t>SKÅNE LÄN</t>
        </is>
      </c>
      <c r="E2990" t="inlineStr">
        <is>
          <t>SJÖBO</t>
        </is>
      </c>
      <c r="G2990" t="n">
        <v>6.1</v>
      </c>
      <c r="H2990" t="n">
        <v>0</v>
      </c>
      <c r="I2990" t="n">
        <v>0</v>
      </c>
      <c r="J2990" t="n">
        <v>0</v>
      </c>
      <c r="K2990" t="n">
        <v>0</v>
      </c>
      <c r="L2990" t="n">
        <v>0</v>
      </c>
      <c r="M2990" t="n">
        <v>0</v>
      </c>
      <c r="N2990" t="n">
        <v>0</v>
      </c>
      <c r="O2990" t="n">
        <v>0</v>
      </c>
      <c r="P2990" t="n">
        <v>0</v>
      </c>
      <c r="Q2990" t="n">
        <v>0</v>
      </c>
      <c r="R2990" s="2" t="inlineStr"/>
    </row>
    <row r="2991" ht="15" customHeight="1">
      <c r="A2991" t="inlineStr">
        <is>
          <t>A 54009-2023</t>
        </is>
      </c>
      <c r="B2991" s="1" t="n">
        <v>45231.74186342592</v>
      </c>
      <c r="C2991" s="1" t="n">
        <v>45962</v>
      </c>
      <c r="D2991" t="inlineStr">
        <is>
          <t>SKÅNE LÄN</t>
        </is>
      </c>
      <c r="E2991" t="inlineStr">
        <is>
          <t>OSBY</t>
        </is>
      </c>
      <c r="G2991" t="n">
        <v>1.5</v>
      </c>
      <c r="H2991" t="n">
        <v>0</v>
      </c>
      <c r="I2991" t="n">
        <v>0</v>
      </c>
      <c r="J2991" t="n">
        <v>0</v>
      </c>
      <c r="K2991" t="n">
        <v>0</v>
      </c>
      <c r="L2991" t="n">
        <v>0</v>
      </c>
      <c r="M2991" t="n">
        <v>0</v>
      </c>
      <c r="N2991" t="n">
        <v>0</v>
      </c>
      <c r="O2991" t="n">
        <v>0</v>
      </c>
      <c r="P2991" t="n">
        <v>0</v>
      </c>
      <c r="Q2991" t="n">
        <v>0</v>
      </c>
      <c r="R2991" s="2" t="inlineStr"/>
    </row>
    <row r="2992" ht="15" customHeight="1">
      <c r="A2992" t="inlineStr">
        <is>
          <t>A 24914-2025</t>
        </is>
      </c>
      <c r="B2992" s="1" t="n">
        <v>45799</v>
      </c>
      <c r="C2992" s="1" t="n">
        <v>45962</v>
      </c>
      <c r="D2992" t="inlineStr">
        <is>
          <t>SKÅNE LÄN</t>
        </is>
      </c>
      <c r="E2992" t="inlineStr">
        <is>
          <t>SJÖBO</t>
        </is>
      </c>
      <c r="G2992" t="n">
        <v>3.6</v>
      </c>
      <c r="H2992" t="n">
        <v>0</v>
      </c>
      <c r="I2992" t="n">
        <v>0</v>
      </c>
      <c r="J2992" t="n">
        <v>0</v>
      </c>
      <c r="K2992" t="n">
        <v>0</v>
      </c>
      <c r="L2992" t="n">
        <v>0</v>
      </c>
      <c r="M2992" t="n">
        <v>0</v>
      </c>
      <c r="N2992" t="n">
        <v>0</v>
      </c>
      <c r="O2992" t="n">
        <v>0</v>
      </c>
      <c r="P2992" t="n">
        <v>0</v>
      </c>
      <c r="Q2992" t="n">
        <v>0</v>
      </c>
      <c r="R2992" s="2" t="inlineStr"/>
    </row>
    <row r="2993" ht="15" customHeight="1">
      <c r="A2993" t="inlineStr">
        <is>
          <t>A 65200-2021</t>
        </is>
      </c>
      <c r="B2993" s="1" t="n">
        <v>44515</v>
      </c>
      <c r="C2993" s="1" t="n">
        <v>45962</v>
      </c>
      <c r="D2993" t="inlineStr">
        <is>
          <t>SKÅNE LÄN</t>
        </is>
      </c>
      <c r="E2993" t="inlineStr">
        <is>
          <t>HÖÖR</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3349-2023</t>
        </is>
      </c>
      <c r="B2994" s="1" t="n">
        <v>44949</v>
      </c>
      <c r="C2994" s="1" t="n">
        <v>45962</v>
      </c>
      <c r="D2994" t="inlineStr">
        <is>
          <t>SKÅNE LÄN</t>
        </is>
      </c>
      <c r="E2994" t="inlineStr">
        <is>
          <t>HÄSSLEHOLM</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16665-2025</t>
        </is>
      </c>
      <c r="B2995" s="1" t="n">
        <v>45754.42253472222</v>
      </c>
      <c r="C2995" s="1" t="n">
        <v>45962</v>
      </c>
      <c r="D2995" t="inlineStr">
        <is>
          <t>SKÅNE LÄN</t>
        </is>
      </c>
      <c r="E2995" t="inlineStr">
        <is>
          <t>HÖRBY</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22277-2024</t>
        </is>
      </c>
      <c r="B2996" s="1" t="n">
        <v>45446</v>
      </c>
      <c r="C2996" s="1" t="n">
        <v>45962</v>
      </c>
      <c r="D2996" t="inlineStr">
        <is>
          <t>SKÅNE LÄN</t>
        </is>
      </c>
      <c r="E2996" t="inlineStr">
        <is>
          <t>KRISTIANSTAD</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24797-2025</t>
        </is>
      </c>
      <c r="B2997" s="1" t="n">
        <v>45799.43565972222</v>
      </c>
      <c r="C2997" s="1" t="n">
        <v>45962</v>
      </c>
      <c r="D2997" t="inlineStr">
        <is>
          <t>SKÅNE LÄN</t>
        </is>
      </c>
      <c r="E2997" t="inlineStr">
        <is>
          <t>KRISTIANSTAD</t>
        </is>
      </c>
      <c r="F2997" t="inlineStr">
        <is>
          <t>Övriga Aktiebolag</t>
        </is>
      </c>
      <c r="G2997" t="n">
        <v>1.9</v>
      </c>
      <c r="H2997" t="n">
        <v>0</v>
      </c>
      <c r="I2997" t="n">
        <v>0</v>
      </c>
      <c r="J2997" t="n">
        <v>0</v>
      </c>
      <c r="K2997" t="n">
        <v>0</v>
      </c>
      <c r="L2997" t="n">
        <v>0</v>
      </c>
      <c r="M2997" t="n">
        <v>0</v>
      </c>
      <c r="N2997" t="n">
        <v>0</v>
      </c>
      <c r="O2997" t="n">
        <v>0</v>
      </c>
      <c r="P2997" t="n">
        <v>0</v>
      </c>
      <c r="Q2997" t="n">
        <v>0</v>
      </c>
      <c r="R2997" s="2" t="inlineStr"/>
    </row>
    <row r="2998" ht="15" customHeight="1">
      <c r="A2998" t="inlineStr">
        <is>
          <t>A 24798-2025</t>
        </is>
      </c>
      <c r="B2998" s="1" t="n">
        <v>45799.43751157408</v>
      </c>
      <c r="C2998" s="1" t="n">
        <v>45962</v>
      </c>
      <c r="D2998" t="inlineStr">
        <is>
          <t>SKÅNE LÄN</t>
        </is>
      </c>
      <c r="E2998" t="inlineStr">
        <is>
          <t>KRISTIANSTAD</t>
        </is>
      </c>
      <c r="F2998" t="inlineStr">
        <is>
          <t>Övriga Aktiebolag</t>
        </is>
      </c>
      <c r="G2998" t="n">
        <v>10.1</v>
      </c>
      <c r="H2998" t="n">
        <v>0</v>
      </c>
      <c r="I2998" t="n">
        <v>0</v>
      </c>
      <c r="J2998" t="n">
        <v>0</v>
      </c>
      <c r="K2998" t="n">
        <v>0</v>
      </c>
      <c r="L2998" t="n">
        <v>0</v>
      </c>
      <c r="M2998" t="n">
        <v>0</v>
      </c>
      <c r="N2998" t="n">
        <v>0</v>
      </c>
      <c r="O2998" t="n">
        <v>0</v>
      </c>
      <c r="P2998" t="n">
        <v>0</v>
      </c>
      <c r="Q2998" t="n">
        <v>0</v>
      </c>
      <c r="R2998" s="2" t="inlineStr"/>
    </row>
    <row r="2999" ht="15" customHeight="1">
      <c r="A2999" t="inlineStr">
        <is>
          <t>A 25057-2024</t>
        </is>
      </c>
      <c r="B2999" s="1" t="n">
        <v>45462</v>
      </c>
      <c r="C2999" s="1" t="n">
        <v>45962</v>
      </c>
      <c r="D2999" t="inlineStr">
        <is>
          <t>SKÅNE LÄN</t>
        </is>
      </c>
      <c r="E2999" t="inlineStr">
        <is>
          <t>HÄSSLEHOLM</t>
        </is>
      </c>
      <c r="G2999" t="n">
        <v>4.3</v>
      </c>
      <c r="H2999" t="n">
        <v>0</v>
      </c>
      <c r="I2999" t="n">
        <v>0</v>
      </c>
      <c r="J2999" t="n">
        <v>0</v>
      </c>
      <c r="K2999" t="n">
        <v>0</v>
      </c>
      <c r="L2999" t="n">
        <v>0</v>
      </c>
      <c r="M2999" t="n">
        <v>0</v>
      </c>
      <c r="N2999" t="n">
        <v>0</v>
      </c>
      <c r="O2999" t="n">
        <v>0</v>
      </c>
      <c r="P2999" t="n">
        <v>0</v>
      </c>
      <c r="Q2999" t="n">
        <v>0</v>
      </c>
      <c r="R2999" s="2" t="inlineStr"/>
    </row>
    <row r="3000" ht="15" customHeight="1">
      <c r="A3000" t="inlineStr">
        <is>
          <t>A 37056-2024</t>
        </is>
      </c>
      <c r="B3000" s="1" t="n">
        <v>45539.44309027777</v>
      </c>
      <c r="C3000" s="1" t="n">
        <v>45962</v>
      </c>
      <c r="D3000" t="inlineStr">
        <is>
          <t>SKÅNE LÄN</t>
        </is>
      </c>
      <c r="E3000" t="inlineStr">
        <is>
          <t>ÖSTRA GÖINGE</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30736-2025</t>
        </is>
      </c>
      <c r="B3001" s="1" t="n">
        <v>45831</v>
      </c>
      <c r="C3001" s="1" t="n">
        <v>45962</v>
      </c>
      <c r="D3001" t="inlineStr">
        <is>
          <t>SKÅNE LÄN</t>
        </is>
      </c>
      <c r="E3001" t="inlineStr">
        <is>
          <t>KRISTIANSTAD</t>
        </is>
      </c>
      <c r="G3001" t="n">
        <v>5.9</v>
      </c>
      <c r="H3001" t="n">
        <v>0</v>
      </c>
      <c r="I3001" t="n">
        <v>0</v>
      </c>
      <c r="J3001" t="n">
        <v>0</v>
      </c>
      <c r="K3001" t="n">
        <v>0</v>
      </c>
      <c r="L3001" t="n">
        <v>0</v>
      </c>
      <c r="M3001" t="n">
        <v>0</v>
      </c>
      <c r="N3001" t="n">
        <v>0</v>
      </c>
      <c r="O3001" t="n">
        <v>0</v>
      </c>
      <c r="P3001" t="n">
        <v>0</v>
      </c>
      <c r="Q3001" t="n">
        <v>0</v>
      </c>
      <c r="R3001" s="2" t="inlineStr"/>
    </row>
    <row r="3002" ht="15" customHeight="1">
      <c r="A3002" t="inlineStr">
        <is>
          <t>A 11802-2024</t>
        </is>
      </c>
      <c r="B3002" s="1" t="n">
        <v>45375.71997685185</v>
      </c>
      <c r="C3002" s="1" t="n">
        <v>45962</v>
      </c>
      <c r="D3002" t="inlineStr">
        <is>
          <t>SKÅNE LÄN</t>
        </is>
      </c>
      <c r="E3002" t="inlineStr">
        <is>
          <t>TOMELILLA</t>
        </is>
      </c>
      <c r="F3002" t="inlineStr">
        <is>
          <t>Övriga Aktiebolag</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11880-2024</t>
        </is>
      </c>
      <c r="B3003" s="1" t="n">
        <v>45376.48771990741</v>
      </c>
      <c r="C3003" s="1" t="n">
        <v>45962</v>
      </c>
      <c r="D3003" t="inlineStr">
        <is>
          <t>SKÅNE LÄN</t>
        </is>
      </c>
      <c r="E3003" t="inlineStr">
        <is>
          <t>ÖSTRA GÖINGE</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54711-2023</t>
        </is>
      </c>
      <c r="B3004" s="1" t="n">
        <v>45236</v>
      </c>
      <c r="C3004" s="1" t="n">
        <v>45962</v>
      </c>
      <c r="D3004" t="inlineStr">
        <is>
          <t>SKÅNE LÄN</t>
        </is>
      </c>
      <c r="E3004" t="inlineStr">
        <is>
          <t>SJÖBO</t>
        </is>
      </c>
      <c r="F3004" t="inlineStr">
        <is>
          <t>Kommuner</t>
        </is>
      </c>
      <c r="G3004" t="n">
        <v>5.8</v>
      </c>
      <c r="H3004" t="n">
        <v>0</v>
      </c>
      <c r="I3004" t="n">
        <v>0</v>
      </c>
      <c r="J3004" t="n">
        <v>0</v>
      </c>
      <c r="K3004" t="n">
        <v>0</v>
      </c>
      <c r="L3004" t="n">
        <v>0</v>
      </c>
      <c r="M3004" t="n">
        <v>0</v>
      </c>
      <c r="N3004" t="n">
        <v>0</v>
      </c>
      <c r="O3004" t="n">
        <v>0</v>
      </c>
      <c r="P3004" t="n">
        <v>0</v>
      </c>
      <c r="Q3004" t="n">
        <v>0</v>
      </c>
      <c r="R3004" s="2" t="inlineStr"/>
    </row>
    <row r="3005" ht="15" customHeight="1">
      <c r="A3005" t="inlineStr">
        <is>
          <t>A 6965-2021</t>
        </is>
      </c>
      <c r="B3005" s="1" t="n">
        <v>44237</v>
      </c>
      <c r="C3005" s="1" t="n">
        <v>45962</v>
      </c>
      <c r="D3005" t="inlineStr">
        <is>
          <t>SKÅNE LÄN</t>
        </is>
      </c>
      <c r="E3005" t="inlineStr">
        <is>
          <t>HÄSSLEHOLM</t>
        </is>
      </c>
      <c r="G3005" t="n">
        <v>0.3</v>
      </c>
      <c r="H3005" t="n">
        <v>0</v>
      </c>
      <c r="I3005" t="n">
        <v>0</v>
      </c>
      <c r="J3005" t="n">
        <v>0</v>
      </c>
      <c r="K3005" t="n">
        <v>0</v>
      </c>
      <c r="L3005" t="n">
        <v>0</v>
      </c>
      <c r="M3005" t="n">
        <v>0</v>
      </c>
      <c r="N3005" t="n">
        <v>0</v>
      </c>
      <c r="O3005" t="n">
        <v>0</v>
      </c>
      <c r="P3005" t="n">
        <v>0</v>
      </c>
      <c r="Q3005" t="n">
        <v>0</v>
      </c>
      <c r="R3005" s="2" t="inlineStr"/>
    </row>
    <row r="3006" ht="15" customHeight="1">
      <c r="A3006" t="inlineStr">
        <is>
          <t>A 24688-2025</t>
        </is>
      </c>
      <c r="B3006" s="1" t="n">
        <v>45798</v>
      </c>
      <c r="C3006" s="1" t="n">
        <v>45962</v>
      </c>
      <c r="D3006" t="inlineStr">
        <is>
          <t>SKÅNE LÄN</t>
        </is>
      </c>
      <c r="E3006" t="inlineStr">
        <is>
          <t>BROMÖLLA</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2262-2025</t>
        </is>
      </c>
      <c r="B3007" s="1" t="n">
        <v>45673</v>
      </c>
      <c r="C3007" s="1" t="n">
        <v>45962</v>
      </c>
      <c r="D3007" t="inlineStr">
        <is>
          <t>SKÅNE LÄN</t>
        </is>
      </c>
      <c r="E3007" t="inlineStr">
        <is>
          <t>KLIPPAN</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11894-2024</t>
        </is>
      </c>
      <c r="B3008" s="1" t="n">
        <v>45376</v>
      </c>
      <c r="C3008" s="1" t="n">
        <v>45962</v>
      </c>
      <c r="D3008" t="inlineStr">
        <is>
          <t>SKÅNE LÄN</t>
        </is>
      </c>
      <c r="E3008" t="inlineStr">
        <is>
          <t>TOMELILLA</t>
        </is>
      </c>
      <c r="F3008" t="inlineStr">
        <is>
          <t>Övriga Aktiebolag</t>
        </is>
      </c>
      <c r="G3008" t="n">
        <v>4.4</v>
      </c>
      <c r="H3008" t="n">
        <v>0</v>
      </c>
      <c r="I3008" t="n">
        <v>0</v>
      </c>
      <c r="J3008" t="n">
        <v>0</v>
      </c>
      <c r="K3008" t="n">
        <v>0</v>
      </c>
      <c r="L3008" t="n">
        <v>0</v>
      </c>
      <c r="M3008" t="n">
        <v>0</v>
      </c>
      <c r="N3008" t="n">
        <v>0</v>
      </c>
      <c r="O3008" t="n">
        <v>0</v>
      </c>
      <c r="P3008" t="n">
        <v>0</v>
      </c>
      <c r="Q3008" t="n">
        <v>0</v>
      </c>
      <c r="R3008" s="2" t="inlineStr"/>
    </row>
    <row r="3009" ht="15" customHeight="1">
      <c r="A3009" t="inlineStr">
        <is>
          <t>A 7079-2023</t>
        </is>
      </c>
      <c r="B3009" s="1" t="n">
        <v>44965</v>
      </c>
      <c r="C3009" s="1" t="n">
        <v>45962</v>
      </c>
      <c r="D3009" t="inlineStr">
        <is>
          <t>SKÅNE LÄN</t>
        </is>
      </c>
      <c r="E3009" t="inlineStr">
        <is>
          <t>OSBY</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61364-2023</t>
        </is>
      </c>
      <c r="B3010" s="1" t="n">
        <v>45264</v>
      </c>
      <c r="C3010" s="1" t="n">
        <v>45962</v>
      </c>
      <c r="D3010" t="inlineStr">
        <is>
          <t>SKÅNE LÄN</t>
        </is>
      </c>
      <c r="E3010" t="inlineStr">
        <is>
          <t>OSBY</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24720-2025</t>
        </is>
      </c>
      <c r="B3011" s="1" t="n">
        <v>45799.29619212963</v>
      </c>
      <c r="C3011" s="1" t="n">
        <v>45962</v>
      </c>
      <c r="D3011" t="inlineStr">
        <is>
          <t>SKÅNE LÄN</t>
        </is>
      </c>
      <c r="E3011" t="inlineStr">
        <is>
          <t>OSBY</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24833-2025</t>
        </is>
      </c>
      <c r="B3012" s="1" t="n">
        <v>45799.45917824074</v>
      </c>
      <c r="C3012" s="1" t="n">
        <v>45962</v>
      </c>
      <c r="D3012" t="inlineStr">
        <is>
          <t>SKÅNE LÄN</t>
        </is>
      </c>
      <c r="E3012" t="inlineStr">
        <is>
          <t>SJÖBO</t>
        </is>
      </c>
      <c r="G3012" t="n">
        <v>2.8</v>
      </c>
      <c r="H3012" t="n">
        <v>0</v>
      </c>
      <c r="I3012" t="n">
        <v>0</v>
      </c>
      <c r="J3012" t="n">
        <v>0</v>
      </c>
      <c r="K3012" t="n">
        <v>0</v>
      </c>
      <c r="L3012" t="n">
        <v>0</v>
      </c>
      <c r="M3012" t="n">
        <v>0</v>
      </c>
      <c r="N3012" t="n">
        <v>0</v>
      </c>
      <c r="O3012" t="n">
        <v>0</v>
      </c>
      <c r="P3012" t="n">
        <v>0</v>
      </c>
      <c r="Q3012" t="n">
        <v>0</v>
      </c>
      <c r="R3012" s="2" t="inlineStr"/>
    </row>
    <row r="3013" ht="15" customHeight="1">
      <c r="A3013" t="inlineStr">
        <is>
          <t>A 17519-2023</t>
        </is>
      </c>
      <c r="B3013" s="1" t="n">
        <v>45036</v>
      </c>
      <c r="C3013" s="1" t="n">
        <v>45962</v>
      </c>
      <c r="D3013" t="inlineStr">
        <is>
          <t>SKÅNE LÄN</t>
        </is>
      </c>
      <c r="E3013" t="inlineStr">
        <is>
          <t>LUND</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13267-2023</t>
        </is>
      </c>
      <c r="B3014" s="1" t="n">
        <v>45003</v>
      </c>
      <c r="C3014" s="1" t="n">
        <v>45962</v>
      </c>
      <c r="D3014" t="inlineStr">
        <is>
          <t>SKÅNE LÄN</t>
        </is>
      </c>
      <c r="E3014" t="inlineStr">
        <is>
          <t>PERSTORP</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24658-2025</t>
        </is>
      </c>
      <c r="B3015" s="1" t="n">
        <v>45798.64134259259</v>
      </c>
      <c r="C3015" s="1" t="n">
        <v>45962</v>
      </c>
      <c r="D3015" t="inlineStr">
        <is>
          <t>SKÅNE LÄN</t>
        </is>
      </c>
      <c r="E3015" t="inlineStr">
        <is>
          <t>HÄSSLEHOLM</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10060-2024</t>
        </is>
      </c>
      <c r="B3016" s="1" t="n">
        <v>45364.38001157407</v>
      </c>
      <c r="C3016" s="1" t="n">
        <v>45962</v>
      </c>
      <c r="D3016" t="inlineStr">
        <is>
          <t>SKÅNE LÄN</t>
        </is>
      </c>
      <c r="E3016" t="inlineStr">
        <is>
          <t>OSBY</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11150-2023</t>
        </is>
      </c>
      <c r="B3017" s="1" t="n">
        <v>44992</v>
      </c>
      <c r="C3017" s="1" t="n">
        <v>45962</v>
      </c>
      <c r="D3017" t="inlineStr">
        <is>
          <t>SKÅNE LÄN</t>
        </is>
      </c>
      <c r="E3017" t="inlineStr">
        <is>
          <t>KRISTIANSTAD</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23681-2023</t>
        </is>
      </c>
      <c r="B3018" s="1" t="n">
        <v>45077</v>
      </c>
      <c r="C3018" s="1" t="n">
        <v>45962</v>
      </c>
      <c r="D3018" t="inlineStr">
        <is>
          <t>SKÅNE LÄN</t>
        </is>
      </c>
      <c r="E3018" t="inlineStr">
        <is>
          <t>KLIPPAN</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59744-2020</t>
        </is>
      </c>
      <c r="B3019" s="1" t="n">
        <v>44151</v>
      </c>
      <c r="C3019" s="1" t="n">
        <v>45962</v>
      </c>
      <c r="D3019" t="inlineStr">
        <is>
          <t>SKÅNE LÄN</t>
        </is>
      </c>
      <c r="E3019" t="inlineStr">
        <is>
          <t>SVALÖV</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23692-2023</t>
        </is>
      </c>
      <c r="B3020" s="1" t="n">
        <v>45077.60907407408</v>
      </c>
      <c r="C3020" s="1" t="n">
        <v>45962</v>
      </c>
      <c r="D3020" t="inlineStr">
        <is>
          <t>SKÅNE LÄN</t>
        </is>
      </c>
      <c r="E3020" t="inlineStr">
        <is>
          <t>ÖRKELLJUNGA</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24815-2025</t>
        </is>
      </c>
      <c r="B3021" s="1" t="n">
        <v>45799.44935185185</v>
      </c>
      <c r="C3021" s="1" t="n">
        <v>45962</v>
      </c>
      <c r="D3021" t="inlineStr">
        <is>
          <t>SKÅNE LÄN</t>
        </is>
      </c>
      <c r="E3021" t="inlineStr">
        <is>
          <t>KLIPPAN</t>
        </is>
      </c>
      <c r="G3021" t="n">
        <v>3.8</v>
      </c>
      <c r="H3021" t="n">
        <v>0</v>
      </c>
      <c r="I3021" t="n">
        <v>0</v>
      </c>
      <c r="J3021" t="n">
        <v>0</v>
      </c>
      <c r="K3021" t="n">
        <v>0</v>
      </c>
      <c r="L3021" t="n">
        <v>0</v>
      </c>
      <c r="M3021" t="n">
        <v>0</v>
      </c>
      <c r="N3021" t="n">
        <v>0</v>
      </c>
      <c r="O3021" t="n">
        <v>0</v>
      </c>
      <c r="P3021" t="n">
        <v>0</v>
      </c>
      <c r="Q3021" t="n">
        <v>0</v>
      </c>
      <c r="R3021" s="2" t="inlineStr"/>
    </row>
    <row r="3022" ht="15" customHeight="1">
      <c r="A3022" t="inlineStr">
        <is>
          <t>A 24830-2025</t>
        </is>
      </c>
      <c r="B3022" s="1" t="n">
        <v>45799.45798611111</v>
      </c>
      <c r="C3022" s="1" t="n">
        <v>45962</v>
      </c>
      <c r="D3022" t="inlineStr">
        <is>
          <t>SKÅNE LÄN</t>
        </is>
      </c>
      <c r="E3022" t="inlineStr">
        <is>
          <t>SJÖBO</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7494-2023</t>
        </is>
      </c>
      <c r="B3023" s="1" t="n">
        <v>44971.70835648148</v>
      </c>
      <c r="C3023" s="1" t="n">
        <v>45962</v>
      </c>
      <c r="D3023" t="inlineStr">
        <is>
          <t>SKÅNE LÄN</t>
        </is>
      </c>
      <c r="E3023" t="inlineStr">
        <is>
          <t>HÄSSLEHOLM</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52281-2024</t>
        </is>
      </c>
      <c r="B3024" s="1" t="n">
        <v>45608</v>
      </c>
      <c r="C3024" s="1" t="n">
        <v>45962</v>
      </c>
      <c r="D3024" t="inlineStr">
        <is>
          <t>SKÅNE LÄN</t>
        </is>
      </c>
      <c r="E3024" t="inlineStr">
        <is>
          <t>HÖÖR</t>
        </is>
      </c>
      <c r="G3024" t="n">
        <v>12.3</v>
      </c>
      <c r="H3024" t="n">
        <v>0</v>
      </c>
      <c r="I3024" t="n">
        <v>0</v>
      </c>
      <c r="J3024" t="n">
        <v>0</v>
      </c>
      <c r="K3024" t="n">
        <v>0</v>
      </c>
      <c r="L3024" t="n">
        <v>0</v>
      </c>
      <c r="M3024" t="n">
        <v>0</v>
      </c>
      <c r="N3024" t="n">
        <v>0</v>
      </c>
      <c r="O3024" t="n">
        <v>0</v>
      </c>
      <c r="P3024" t="n">
        <v>0</v>
      </c>
      <c r="Q3024" t="n">
        <v>0</v>
      </c>
      <c r="R3024" s="2" t="inlineStr"/>
    </row>
    <row r="3025" ht="15" customHeight="1">
      <c r="A3025" t="inlineStr">
        <is>
          <t>A 32732-2022</t>
        </is>
      </c>
      <c r="B3025" s="1" t="n">
        <v>44783</v>
      </c>
      <c r="C3025" s="1" t="n">
        <v>45962</v>
      </c>
      <c r="D3025" t="inlineStr">
        <is>
          <t>SKÅNE LÄN</t>
        </is>
      </c>
      <c r="E3025" t="inlineStr">
        <is>
          <t>SJÖBO</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4324-2024</t>
        </is>
      </c>
      <c r="B3026" s="1" t="n">
        <v>45324.67409722223</v>
      </c>
      <c r="C3026" s="1" t="n">
        <v>45962</v>
      </c>
      <c r="D3026" t="inlineStr">
        <is>
          <t>SKÅNE LÄN</t>
        </is>
      </c>
      <c r="E3026" t="inlineStr">
        <is>
          <t>KLIPPAN</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10115-2024</t>
        </is>
      </c>
      <c r="B3027" s="1" t="n">
        <v>45364.55339120371</v>
      </c>
      <c r="C3027" s="1" t="n">
        <v>45962</v>
      </c>
      <c r="D3027" t="inlineStr">
        <is>
          <t>SKÅNE LÄN</t>
        </is>
      </c>
      <c r="E3027" t="inlineStr">
        <is>
          <t>HÄSSLEHOLM</t>
        </is>
      </c>
      <c r="G3027" t="n">
        <v>7</v>
      </c>
      <c r="H3027" t="n">
        <v>0</v>
      </c>
      <c r="I3027" t="n">
        <v>0</v>
      </c>
      <c r="J3027" t="n">
        <v>0</v>
      </c>
      <c r="K3027" t="n">
        <v>0</v>
      </c>
      <c r="L3027" t="n">
        <v>0</v>
      </c>
      <c r="M3027" t="n">
        <v>0</v>
      </c>
      <c r="N3027" t="n">
        <v>0</v>
      </c>
      <c r="O3027" t="n">
        <v>0</v>
      </c>
      <c r="P3027" t="n">
        <v>0</v>
      </c>
      <c r="Q3027" t="n">
        <v>0</v>
      </c>
      <c r="R3027" s="2" t="inlineStr"/>
    </row>
    <row r="3028" ht="15" customHeight="1">
      <c r="A3028" t="inlineStr">
        <is>
          <t>A 24803-2025</t>
        </is>
      </c>
      <c r="B3028" s="1" t="n">
        <v>45799.43972222223</v>
      </c>
      <c r="C3028" s="1" t="n">
        <v>45962</v>
      </c>
      <c r="D3028" t="inlineStr">
        <is>
          <t>SKÅNE LÄN</t>
        </is>
      </c>
      <c r="E3028" t="inlineStr">
        <is>
          <t>KRISTIANSTAD</t>
        </is>
      </c>
      <c r="F3028" t="inlineStr">
        <is>
          <t>Övriga Aktiebolag</t>
        </is>
      </c>
      <c r="G3028" t="n">
        <v>9.699999999999999</v>
      </c>
      <c r="H3028" t="n">
        <v>0</v>
      </c>
      <c r="I3028" t="n">
        <v>0</v>
      </c>
      <c r="J3028" t="n">
        <v>0</v>
      </c>
      <c r="K3028" t="n">
        <v>0</v>
      </c>
      <c r="L3028" t="n">
        <v>0</v>
      </c>
      <c r="M3028" t="n">
        <v>0</v>
      </c>
      <c r="N3028" t="n">
        <v>0</v>
      </c>
      <c r="O3028" t="n">
        <v>0</v>
      </c>
      <c r="P3028" t="n">
        <v>0</v>
      </c>
      <c r="Q3028" t="n">
        <v>0</v>
      </c>
      <c r="R3028" s="2" t="inlineStr"/>
    </row>
    <row r="3029" ht="15" customHeight="1">
      <c r="A3029" t="inlineStr">
        <is>
          <t>A 25372-2025</t>
        </is>
      </c>
      <c r="B3029" s="1" t="n">
        <v>45799</v>
      </c>
      <c r="C3029" s="1" t="n">
        <v>45962</v>
      </c>
      <c r="D3029" t="inlineStr">
        <is>
          <t>SKÅNE LÄN</t>
        </is>
      </c>
      <c r="E3029" t="inlineStr">
        <is>
          <t>HÄSSLEHOLM</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59355-2024</t>
        </is>
      </c>
      <c r="B3030" s="1" t="n">
        <v>45638.3119212963</v>
      </c>
      <c r="C3030" s="1" t="n">
        <v>45962</v>
      </c>
      <c r="D3030" t="inlineStr">
        <is>
          <t>SKÅNE LÄN</t>
        </is>
      </c>
      <c r="E3030" t="inlineStr">
        <is>
          <t>ÖSTRA GÖINGE</t>
        </is>
      </c>
      <c r="G3030" t="n">
        <v>1.5</v>
      </c>
      <c r="H3030" t="n">
        <v>0</v>
      </c>
      <c r="I3030" t="n">
        <v>0</v>
      </c>
      <c r="J3030" t="n">
        <v>0</v>
      </c>
      <c r="K3030" t="n">
        <v>0</v>
      </c>
      <c r="L3030" t="n">
        <v>0</v>
      </c>
      <c r="M3030" t="n">
        <v>0</v>
      </c>
      <c r="N3030" t="n">
        <v>0</v>
      </c>
      <c r="O3030" t="n">
        <v>0</v>
      </c>
      <c r="P3030" t="n">
        <v>0</v>
      </c>
      <c r="Q3030" t="n">
        <v>0</v>
      </c>
      <c r="R3030" s="2" t="inlineStr"/>
    </row>
    <row r="3031" ht="15" customHeight="1">
      <c r="A3031" t="inlineStr">
        <is>
          <t>A 39935-2023</t>
        </is>
      </c>
      <c r="B3031" s="1" t="n">
        <v>45168.51060185185</v>
      </c>
      <c r="C3031" s="1" t="n">
        <v>45962</v>
      </c>
      <c r="D3031" t="inlineStr">
        <is>
          <t>SKÅNE LÄN</t>
        </is>
      </c>
      <c r="E3031" t="inlineStr">
        <is>
          <t>KRISTIANSTAD</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9399-2025</t>
        </is>
      </c>
      <c r="B3032" s="1" t="n">
        <v>45715.37861111111</v>
      </c>
      <c r="C3032" s="1" t="n">
        <v>45962</v>
      </c>
      <c r="D3032" t="inlineStr">
        <is>
          <t>SKÅNE LÄN</t>
        </is>
      </c>
      <c r="E3032" t="inlineStr">
        <is>
          <t>HÄSSLEHOLM</t>
        </is>
      </c>
      <c r="G3032" t="n">
        <v>5.2</v>
      </c>
      <c r="H3032" t="n">
        <v>0</v>
      </c>
      <c r="I3032" t="n">
        <v>0</v>
      </c>
      <c r="J3032" t="n">
        <v>0</v>
      </c>
      <c r="K3032" t="n">
        <v>0</v>
      </c>
      <c r="L3032" t="n">
        <v>0</v>
      </c>
      <c r="M3032" t="n">
        <v>0</v>
      </c>
      <c r="N3032" t="n">
        <v>0</v>
      </c>
      <c r="O3032" t="n">
        <v>0</v>
      </c>
      <c r="P3032" t="n">
        <v>0</v>
      </c>
      <c r="Q3032" t="n">
        <v>0</v>
      </c>
      <c r="R3032" s="2" t="inlineStr"/>
    </row>
    <row r="3033" ht="15" customHeight="1">
      <c r="A3033" t="inlineStr">
        <is>
          <t>A 7655-2025</t>
        </is>
      </c>
      <c r="B3033" s="1" t="n">
        <v>45706</v>
      </c>
      <c r="C3033" s="1" t="n">
        <v>45962</v>
      </c>
      <c r="D3033" t="inlineStr">
        <is>
          <t>SKÅNE LÄN</t>
        </is>
      </c>
      <c r="E3033" t="inlineStr">
        <is>
          <t>HÖÖR</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8859-2025</t>
        </is>
      </c>
      <c r="B3034" s="1" t="n">
        <v>45713</v>
      </c>
      <c r="C3034" s="1" t="n">
        <v>45962</v>
      </c>
      <c r="D3034" t="inlineStr">
        <is>
          <t>SKÅNE LÄN</t>
        </is>
      </c>
      <c r="E3034" t="inlineStr">
        <is>
          <t>SJÖBO</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44228-2024</t>
        </is>
      </c>
      <c r="B3035" s="1" t="n">
        <v>45573</v>
      </c>
      <c r="C3035" s="1" t="n">
        <v>45962</v>
      </c>
      <c r="D3035" t="inlineStr">
        <is>
          <t>SKÅNE LÄN</t>
        </is>
      </c>
      <c r="E3035" t="inlineStr">
        <is>
          <t>KLIPPAN</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49989-2024</t>
        </is>
      </c>
      <c r="B3036" s="1" t="n">
        <v>45597</v>
      </c>
      <c r="C3036" s="1" t="n">
        <v>45962</v>
      </c>
      <c r="D3036" t="inlineStr">
        <is>
          <t>SKÅNE LÄN</t>
        </is>
      </c>
      <c r="E3036" t="inlineStr">
        <is>
          <t>KLIPPAN</t>
        </is>
      </c>
      <c r="G3036" t="n">
        <v>6.1</v>
      </c>
      <c r="H3036" t="n">
        <v>0</v>
      </c>
      <c r="I3036" t="n">
        <v>0</v>
      </c>
      <c r="J3036" t="n">
        <v>0</v>
      </c>
      <c r="K3036" t="n">
        <v>0</v>
      </c>
      <c r="L3036" t="n">
        <v>0</v>
      </c>
      <c r="M3036" t="n">
        <v>0</v>
      </c>
      <c r="N3036" t="n">
        <v>0</v>
      </c>
      <c r="O3036" t="n">
        <v>0</v>
      </c>
      <c r="P3036" t="n">
        <v>0</v>
      </c>
      <c r="Q3036" t="n">
        <v>0</v>
      </c>
      <c r="R3036" s="2" t="inlineStr"/>
    </row>
    <row r="3037" ht="15" customHeight="1">
      <c r="A3037" t="inlineStr">
        <is>
          <t>A 43711-2024</t>
        </is>
      </c>
      <c r="B3037" s="1" t="n">
        <v>45569</v>
      </c>
      <c r="C3037" s="1" t="n">
        <v>45962</v>
      </c>
      <c r="D3037" t="inlineStr">
        <is>
          <t>SKÅNE LÄN</t>
        </is>
      </c>
      <c r="E3037" t="inlineStr">
        <is>
          <t>HÖRBY</t>
        </is>
      </c>
      <c r="G3037" t="n">
        <v>3.4</v>
      </c>
      <c r="H3037" t="n">
        <v>0</v>
      </c>
      <c r="I3037" t="n">
        <v>0</v>
      </c>
      <c r="J3037" t="n">
        <v>0</v>
      </c>
      <c r="K3037" t="n">
        <v>0</v>
      </c>
      <c r="L3037" t="n">
        <v>0</v>
      </c>
      <c r="M3037" t="n">
        <v>0</v>
      </c>
      <c r="N3037" t="n">
        <v>0</v>
      </c>
      <c r="O3037" t="n">
        <v>0</v>
      </c>
      <c r="P3037" t="n">
        <v>0</v>
      </c>
      <c r="Q3037" t="n">
        <v>0</v>
      </c>
      <c r="R3037" s="2" t="inlineStr"/>
    </row>
    <row r="3038" ht="15" customHeight="1">
      <c r="A3038" t="inlineStr">
        <is>
          <t>A 52409-2024</t>
        </is>
      </c>
      <c r="B3038" s="1" t="n">
        <v>45609.45424768519</v>
      </c>
      <c r="C3038" s="1" t="n">
        <v>45962</v>
      </c>
      <c r="D3038" t="inlineStr">
        <is>
          <t>SKÅNE LÄN</t>
        </is>
      </c>
      <c r="E3038" t="inlineStr">
        <is>
          <t>OSBY</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28490-2023</t>
        </is>
      </c>
      <c r="B3039" s="1" t="n">
        <v>45103.44039351852</v>
      </c>
      <c r="C3039" s="1" t="n">
        <v>45962</v>
      </c>
      <c r="D3039" t="inlineStr">
        <is>
          <t>SKÅNE LÄN</t>
        </is>
      </c>
      <c r="E3039" t="inlineStr">
        <is>
          <t>KLIPPAN</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25703-2025</t>
        </is>
      </c>
      <c r="B3040" s="1" t="n">
        <v>45803</v>
      </c>
      <c r="C3040" s="1" t="n">
        <v>45962</v>
      </c>
      <c r="D3040" t="inlineStr">
        <is>
          <t>SKÅNE LÄN</t>
        </is>
      </c>
      <c r="E3040" t="inlineStr">
        <is>
          <t>OSBY</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1920-2025</t>
        </is>
      </c>
      <c r="B3041" s="1" t="n">
        <v>45671</v>
      </c>
      <c r="C3041" s="1" t="n">
        <v>45962</v>
      </c>
      <c r="D3041" t="inlineStr">
        <is>
          <t>SKÅNE LÄN</t>
        </is>
      </c>
      <c r="E3041" t="inlineStr">
        <is>
          <t>SVALÖV</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30275-2023</t>
        </is>
      </c>
      <c r="B3042" s="1" t="n">
        <v>45110</v>
      </c>
      <c r="C3042" s="1" t="n">
        <v>45962</v>
      </c>
      <c r="D3042" t="inlineStr">
        <is>
          <t>SKÅNE LÄN</t>
        </is>
      </c>
      <c r="E3042" t="inlineStr">
        <is>
          <t>OSBY</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61703-2024</t>
        </is>
      </c>
      <c r="B3043" s="1" t="n">
        <v>45648.33399305555</v>
      </c>
      <c r="C3043" s="1" t="n">
        <v>45962</v>
      </c>
      <c r="D3043" t="inlineStr">
        <is>
          <t>SKÅNE LÄN</t>
        </is>
      </c>
      <c r="E3043" t="inlineStr">
        <is>
          <t>KRISTIANSTAD</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9668-2025</t>
        </is>
      </c>
      <c r="B3044" s="1" t="n">
        <v>45716.3278587963</v>
      </c>
      <c r="C3044" s="1" t="n">
        <v>45962</v>
      </c>
      <c r="D3044" t="inlineStr">
        <is>
          <t>SKÅNE LÄN</t>
        </is>
      </c>
      <c r="E3044" t="inlineStr">
        <is>
          <t>HÄSSLEHOLM</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25433-2025</t>
        </is>
      </c>
      <c r="B3045" s="1" t="n">
        <v>45800.78822916667</v>
      </c>
      <c r="C3045" s="1" t="n">
        <v>45962</v>
      </c>
      <c r="D3045" t="inlineStr">
        <is>
          <t>SKÅNE LÄN</t>
        </is>
      </c>
      <c r="E3045" t="inlineStr">
        <is>
          <t>KRISTIANSTAD</t>
        </is>
      </c>
      <c r="G3045" t="n">
        <v>2.4</v>
      </c>
      <c r="H3045" t="n">
        <v>0</v>
      </c>
      <c r="I3045" t="n">
        <v>0</v>
      </c>
      <c r="J3045" t="n">
        <v>0</v>
      </c>
      <c r="K3045" t="n">
        <v>0</v>
      </c>
      <c r="L3045" t="n">
        <v>0</v>
      </c>
      <c r="M3045" t="n">
        <v>0</v>
      </c>
      <c r="N3045" t="n">
        <v>0</v>
      </c>
      <c r="O3045" t="n">
        <v>0</v>
      </c>
      <c r="P3045" t="n">
        <v>0</v>
      </c>
      <c r="Q3045" t="n">
        <v>0</v>
      </c>
      <c r="R3045" s="2" t="inlineStr"/>
    </row>
    <row r="3046" ht="15" customHeight="1">
      <c r="A3046" t="inlineStr">
        <is>
          <t>A 2747-2023</t>
        </is>
      </c>
      <c r="B3046" s="1" t="n">
        <v>44944</v>
      </c>
      <c r="C3046" s="1" t="n">
        <v>45962</v>
      </c>
      <c r="D3046" t="inlineStr">
        <is>
          <t>SKÅNE LÄN</t>
        </is>
      </c>
      <c r="E3046" t="inlineStr">
        <is>
          <t>HÖRBY</t>
        </is>
      </c>
      <c r="F3046" t="inlineStr">
        <is>
          <t>Sveaskog</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2834-2023</t>
        </is>
      </c>
      <c r="B3047" s="1" t="n">
        <v>44945</v>
      </c>
      <c r="C3047" s="1" t="n">
        <v>45962</v>
      </c>
      <c r="D3047" t="inlineStr">
        <is>
          <t>SKÅNE LÄN</t>
        </is>
      </c>
      <c r="E3047" t="inlineStr">
        <is>
          <t>KRISTIANSTAD</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61701-2022</t>
        </is>
      </c>
      <c r="B3048" s="1" t="n">
        <v>44911</v>
      </c>
      <c r="C3048" s="1" t="n">
        <v>45962</v>
      </c>
      <c r="D3048" t="inlineStr">
        <is>
          <t>SKÅNE LÄN</t>
        </is>
      </c>
      <c r="E3048" t="inlineStr">
        <is>
          <t>BROMÖLLA</t>
        </is>
      </c>
      <c r="F3048" t="inlineStr">
        <is>
          <t>Kyrkan</t>
        </is>
      </c>
      <c r="G3048" t="n">
        <v>4.2</v>
      </c>
      <c r="H3048" t="n">
        <v>0</v>
      </c>
      <c r="I3048" t="n">
        <v>0</v>
      </c>
      <c r="J3048" t="n">
        <v>0</v>
      </c>
      <c r="K3048" t="n">
        <v>0</v>
      </c>
      <c r="L3048" t="n">
        <v>0</v>
      </c>
      <c r="M3048" t="n">
        <v>0</v>
      </c>
      <c r="N3048" t="n">
        <v>0</v>
      </c>
      <c r="O3048" t="n">
        <v>0</v>
      </c>
      <c r="P3048" t="n">
        <v>0</v>
      </c>
      <c r="Q3048" t="n">
        <v>0</v>
      </c>
      <c r="R3048" s="2" t="inlineStr"/>
    </row>
    <row r="3049" ht="15" customHeight="1">
      <c r="A3049" t="inlineStr">
        <is>
          <t>A 51131-2021</t>
        </is>
      </c>
      <c r="B3049" s="1" t="n">
        <v>44461</v>
      </c>
      <c r="C3049" s="1" t="n">
        <v>45962</v>
      </c>
      <c r="D3049" t="inlineStr">
        <is>
          <t>SKÅNE LÄN</t>
        </is>
      </c>
      <c r="E3049" t="inlineStr">
        <is>
          <t>HÖÖR</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259-2024</t>
        </is>
      </c>
      <c r="B3050" s="1" t="n">
        <v>45294</v>
      </c>
      <c r="C3050" s="1" t="n">
        <v>45962</v>
      </c>
      <c r="D3050" t="inlineStr">
        <is>
          <t>SKÅNE LÄN</t>
        </is>
      </c>
      <c r="E3050" t="inlineStr">
        <is>
          <t>HÄSSLEHOLM</t>
        </is>
      </c>
      <c r="G3050" t="n">
        <v>8</v>
      </c>
      <c r="H3050" t="n">
        <v>0</v>
      </c>
      <c r="I3050" t="n">
        <v>0</v>
      </c>
      <c r="J3050" t="n">
        <v>0</v>
      </c>
      <c r="K3050" t="n">
        <v>0</v>
      </c>
      <c r="L3050" t="n">
        <v>0</v>
      </c>
      <c r="M3050" t="n">
        <v>0</v>
      </c>
      <c r="N3050" t="n">
        <v>0</v>
      </c>
      <c r="O3050" t="n">
        <v>0</v>
      </c>
      <c r="P3050" t="n">
        <v>0</v>
      </c>
      <c r="Q3050" t="n">
        <v>0</v>
      </c>
      <c r="R3050" s="2" t="inlineStr"/>
    </row>
    <row r="3051" ht="15" customHeight="1">
      <c r="A3051" t="inlineStr">
        <is>
          <t>A 65640-2021</t>
        </is>
      </c>
      <c r="B3051" s="1" t="n">
        <v>44516</v>
      </c>
      <c r="C3051" s="1" t="n">
        <v>45962</v>
      </c>
      <c r="D3051" t="inlineStr">
        <is>
          <t>SKÅNE LÄN</t>
        </is>
      </c>
      <c r="E3051" t="inlineStr">
        <is>
          <t>TRELLEBORG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29659-2024</t>
        </is>
      </c>
      <c r="B3052" s="1" t="n">
        <v>45484.92587962963</v>
      </c>
      <c r="C3052" s="1" t="n">
        <v>45962</v>
      </c>
      <c r="D3052" t="inlineStr">
        <is>
          <t>SKÅNE LÄN</t>
        </is>
      </c>
      <c r="E3052" t="inlineStr">
        <is>
          <t>HÄSSLEHOLM</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25589-2025</t>
        </is>
      </c>
      <c r="B3053" s="1" t="n">
        <v>45803.49381944445</v>
      </c>
      <c r="C3053" s="1" t="n">
        <v>45962</v>
      </c>
      <c r="D3053" t="inlineStr">
        <is>
          <t>SKÅNE LÄN</t>
        </is>
      </c>
      <c r="E3053" t="inlineStr">
        <is>
          <t>ÖRKELLJUNGA</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27837-2024</t>
        </is>
      </c>
      <c r="B3054" s="1" t="n">
        <v>45475</v>
      </c>
      <c r="C3054" s="1" t="n">
        <v>45962</v>
      </c>
      <c r="D3054" t="inlineStr">
        <is>
          <t>SKÅNE LÄN</t>
        </is>
      </c>
      <c r="E3054" t="inlineStr">
        <is>
          <t>HÄSSLEHOLM</t>
        </is>
      </c>
      <c r="F3054" t="inlineStr">
        <is>
          <t>Kommuner</t>
        </is>
      </c>
      <c r="G3054" t="n">
        <v>2.3</v>
      </c>
      <c r="H3054" t="n">
        <v>0</v>
      </c>
      <c r="I3054" t="n">
        <v>0</v>
      </c>
      <c r="J3054" t="n">
        <v>0</v>
      </c>
      <c r="K3054" t="n">
        <v>0</v>
      </c>
      <c r="L3054" t="n">
        <v>0</v>
      </c>
      <c r="M3054" t="n">
        <v>0</v>
      </c>
      <c r="N3054" t="n">
        <v>0</v>
      </c>
      <c r="O3054" t="n">
        <v>0</v>
      </c>
      <c r="P3054" t="n">
        <v>0</v>
      </c>
      <c r="Q3054" t="n">
        <v>0</v>
      </c>
      <c r="R3054" s="2" t="inlineStr"/>
    </row>
    <row r="3055" ht="15" customHeight="1">
      <c r="A3055" t="inlineStr">
        <is>
          <t>A 5659-2025</t>
        </is>
      </c>
      <c r="B3055" s="1" t="n">
        <v>45693.74108796296</v>
      </c>
      <c r="C3055" s="1" t="n">
        <v>45962</v>
      </c>
      <c r="D3055" t="inlineStr">
        <is>
          <t>SKÅNE LÄN</t>
        </is>
      </c>
      <c r="E3055" t="inlineStr">
        <is>
          <t>BROMÖLLA</t>
        </is>
      </c>
      <c r="G3055" t="n">
        <v>0.9</v>
      </c>
      <c r="H3055" t="n">
        <v>0</v>
      </c>
      <c r="I3055" t="n">
        <v>0</v>
      </c>
      <c r="J3055" t="n">
        <v>0</v>
      </c>
      <c r="K3055" t="n">
        <v>0</v>
      </c>
      <c r="L3055" t="n">
        <v>0</v>
      </c>
      <c r="M3055" t="n">
        <v>0</v>
      </c>
      <c r="N3055" t="n">
        <v>0</v>
      </c>
      <c r="O3055" t="n">
        <v>0</v>
      </c>
      <c r="P3055" t="n">
        <v>0</v>
      </c>
      <c r="Q3055" t="n">
        <v>0</v>
      </c>
      <c r="R3055" s="2" t="inlineStr"/>
    </row>
    <row r="3056" ht="15" customHeight="1">
      <c r="A3056" t="inlineStr">
        <is>
          <t>A 69394-2021</t>
        </is>
      </c>
      <c r="B3056" s="1" t="n">
        <v>44531</v>
      </c>
      <c r="C3056" s="1" t="n">
        <v>45962</v>
      </c>
      <c r="D3056" t="inlineStr">
        <is>
          <t>SKÅNE LÄN</t>
        </is>
      </c>
      <c r="E3056" t="inlineStr">
        <is>
          <t>KLIPPAN</t>
        </is>
      </c>
      <c r="F3056" t="inlineStr">
        <is>
          <t>Övriga Aktiebolag</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745-2024</t>
        </is>
      </c>
      <c r="B3057" s="1" t="n">
        <v>45300</v>
      </c>
      <c r="C3057" s="1" t="n">
        <v>45962</v>
      </c>
      <c r="D3057" t="inlineStr">
        <is>
          <t>SKÅNE LÄN</t>
        </is>
      </c>
      <c r="E3057" t="inlineStr">
        <is>
          <t>BROMÖLLA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1679-2022</t>
        </is>
      </c>
      <c r="B3058" s="1" t="n">
        <v>44573</v>
      </c>
      <c r="C3058" s="1" t="n">
        <v>45962</v>
      </c>
      <c r="D3058" t="inlineStr">
        <is>
          <t>SKÅNE LÄN</t>
        </is>
      </c>
      <c r="E3058" t="inlineStr">
        <is>
          <t>HÄSSLEHOLM</t>
        </is>
      </c>
      <c r="F3058" t="inlineStr">
        <is>
          <t>Kyrkan</t>
        </is>
      </c>
      <c r="G3058" t="n">
        <v>4.3</v>
      </c>
      <c r="H3058" t="n">
        <v>0</v>
      </c>
      <c r="I3058" t="n">
        <v>0</v>
      </c>
      <c r="J3058" t="n">
        <v>0</v>
      </c>
      <c r="K3058" t="n">
        <v>0</v>
      </c>
      <c r="L3058" t="n">
        <v>0</v>
      </c>
      <c r="M3058" t="n">
        <v>0</v>
      </c>
      <c r="N3058" t="n">
        <v>0</v>
      </c>
      <c r="O3058" t="n">
        <v>0</v>
      </c>
      <c r="P3058" t="n">
        <v>0</v>
      </c>
      <c r="Q3058" t="n">
        <v>0</v>
      </c>
      <c r="R3058" s="2" t="inlineStr"/>
    </row>
    <row r="3059" ht="15" customHeight="1">
      <c r="A3059" t="inlineStr">
        <is>
          <t>A 16792-2024</t>
        </is>
      </c>
      <c r="B3059" s="1" t="n">
        <v>45411</v>
      </c>
      <c r="C3059" s="1" t="n">
        <v>45962</v>
      </c>
      <c r="D3059" t="inlineStr">
        <is>
          <t>SKÅNE LÄN</t>
        </is>
      </c>
      <c r="E3059" t="inlineStr">
        <is>
          <t>ESLÖV</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14554-2025</t>
        </is>
      </c>
      <c r="B3060" s="1" t="n">
        <v>45741</v>
      </c>
      <c r="C3060" s="1" t="n">
        <v>45962</v>
      </c>
      <c r="D3060" t="inlineStr">
        <is>
          <t>SKÅNE LÄN</t>
        </is>
      </c>
      <c r="E3060" t="inlineStr">
        <is>
          <t>HÖÖR</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20426-2023</t>
        </is>
      </c>
      <c r="B3061" s="1" t="n">
        <v>45056</v>
      </c>
      <c r="C3061" s="1" t="n">
        <v>45962</v>
      </c>
      <c r="D3061" t="inlineStr">
        <is>
          <t>SKÅNE LÄN</t>
        </is>
      </c>
      <c r="E3061" t="inlineStr">
        <is>
          <t>BROMÖLLA</t>
        </is>
      </c>
      <c r="G3061" t="n">
        <v>5.2</v>
      </c>
      <c r="H3061" t="n">
        <v>0</v>
      </c>
      <c r="I3061" t="n">
        <v>0</v>
      </c>
      <c r="J3061" t="n">
        <v>0</v>
      </c>
      <c r="K3061" t="n">
        <v>0</v>
      </c>
      <c r="L3061" t="n">
        <v>0</v>
      </c>
      <c r="M3061" t="n">
        <v>0</v>
      </c>
      <c r="N3061" t="n">
        <v>0</v>
      </c>
      <c r="O3061" t="n">
        <v>0</v>
      </c>
      <c r="P3061" t="n">
        <v>0</v>
      </c>
      <c r="Q3061" t="n">
        <v>0</v>
      </c>
      <c r="R3061" s="2" t="inlineStr"/>
    </row>
    <row r="3062" ht="15" customHeight="1">
      <c r="A3062" t="inlineStr">
        <is>
          <t>A 46185-2022</t>
        </is>
      </c>
      <c r="B3062" s="1" t="n">
        <v>44847</v>
      </c>
      <c r="C3062" s="1" t="n">
        <v>45962</v>
      </c>
      <c r="D3062" t="inlineStr">
        <is>
          <t>SKÅNE LÄN</t>
        </is>
      </c>
      <c r="E3062" t="inlineStr">
        <is>
          <t>HÄSSLEHOLM</t>
        </is>
      </c>
      <c r="G3062" t="n">
        <v>16.8</v>
      </c>
      <c r="H3062" t="n">
        <v>0</v>
      </c>
      <c r="I3062" t="n">
        <v>0</v>
      </c>
      <c r="J3062" t="n">
        <v>0</v>
      </c>
      <c r="K3062" t="n">
        <v>0</v>
      </c>
      <c r="L3062" t="n">
        <v>0</v>
      </c>
      <c r="M3062" t="n">
        <v>0</v>
      </c>
      <c r="N3062" t="n">
        <v>0</v>
      </c>
      <c r="O3062" t="n">
        <v>0</v>
      </c>
      <c r="P3062" t="n">
        <v>0</v>
      </c>
      <c r="Q3062" t="n">
        <v>0</v>
      </c>
      <c r="R3062" s="2" t="inlineStr"/>
    </row>
    <row r="3063" ht="15" customHeight="1">
      <c r="A3063" t="inlineStr">
        <is>
          <t>A 26988-2024</t>
        </is>
      </c>
      <c r="B3063" s="1" t="n">
        <v>45471.3683912037</v>
      </c>
      <c r="C3063" s="1" t="n">
        <v>45962</v>
      </c>
      <c r="D3063" t="inlineStr">
        <is>
          <t>SKÅNE LÄN</t>
        </is>
      </c>
      <c r="E3063" t="inlineStr">
        <is>
          <t>OSBY</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24986-2023</t>
        </is>
      </c>
      <c r="B3064" s="1" t="n">
        <v>45085</v>
      </c>
      <c r="C3064" s="1" t="n">
        <v>45962</v>
      </c>
      <c r="D3064" t="inlineStr">
        <is>
          <t>SKÅNE LÄN</t>
        </is>
      </c>
      <c r="E3064" t="inlineStr">
        <is>
          <t>ÖSTRA GÖINGE</t>
        </is>
      </c>
      <c r="G3064" t="n">
        <v>4.7</v>
      </c>
      <c r="H3064" t="n">
        <v>0</v>
      </c>
      <c r="I3064" t="n">
        <v>0</v>
      </c>
      <c r="J3064" t="n">
        <v>0</v>
      </c>
      <c r="K3064" t="n">
        <v>0</v>
      </c>
      <c r="L3064" t="n">
        <v>0</v>
      </c>
      <c r="M3064" t="n">
        <v>0</v>
      </c>
      <c r="N3064" t="n">
        <v>0</v>
      </c>
      <c r="O3064" t="n">
        <v>0</v>
      </c>
      <c r="P3064" t="n">
        <v>0</v>
      </c>
      <c r="Q3064" t="n">
        <v>0</v>
      </c>
      <c r="R3064" s="2" t="inlineStr"/>
    </row>
    <row r="3065" ht="15" customHeight="1">
      <c r="A3065" t="inlineStr">
        <is>
          <t>A 2359-2023</t>
        </is>
      </c>
      <c r="B3065" s="1" t="n">
        <v>44942</v>
      </c>
      <c r="C3065" s="1" t="n">
        <v>45962</v>
      </c>
      <c r="D3065" t="inlineStr">
        <is>
          <t>SKÅNE LÄN</t>
        </is>
      </c>
      <c r="E3065" t="inlineStr">
        <is>
          <t>ÖRKELLJUNGA</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46397-2023</t>
        </is>
      </c>
      <c r="B3066" s="1" t="n">
        <v>45191</v>
      </c>
      <c r="C3066" s="1" t="n">
        <v>45962</v>
      </c>
      <c r="D3066" t="inlineStr">
        <is>
          <t>SKÅNE LÄN</t>
        </is>
      </c>
      <c r="E3066" t="inlineStr">
        <is>
          <t>SJÖBO</t>
        </is>
      </c>
      <c r="G3066" t="n">
        <v>9.300000000000001</v>
      </c>
      <c r="H3066" t="n">
        <v>0</v>
      </c>
      <c r="I3066" t="n">
        <v>0</v>
      </c>
      <c r="J3066" t="n">
        <v>0</v>
      </c>
      <c r="K3066" t="n">
        <v>0</v>
      </c>
      <c r="L3066" t="n">
        <v>0</v>
      </c>
      <c r="M3066" t="n">
        <v>0</v>
      </c>
      <c r="N3066" t="n">
        <v>0</v>
      </c>
      <c r="O3066" t="n">
        <v>0</v>
      </c>
      <c r="P3066" t="n">
        <v>0</v>
      </c>
      <c r="Q3066" t="n">
        <v>0</v>
      </c>
      <c r="R3066" s="2" t="inlineStr"/>
    </row>
    <row r="3067" ht="15" customHeight="1">
      <c r="A3067" t="inlineStr">
        <is>
          <t>A 46425-2023</t>
        </is>
      </c>
      <c r="B3067" s="1" t="n">
        <v>45197.56679398148</v>
      </c>
      <c r="C3067" s="1" t="n">
        <v>45962</v>
      </c>
      <c r="D3067" t="inlineStr">
        <is>
          <t>SKÅNE LÄN</t>
        </is>
      </c>
      <c r="E3067" t="inlineStr">
        <is>
          <t>OSBY</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46431-2023</t>
        </is>
      </c>
      <c r="B3068" s="1" t="n">
        <v>45197.57119212963</v>
      </c>
      <c r="C3068" s="1" t="n">
        <v>45962</v>
      </c>
      <c r="D3068" t="inlineStr">
        <is>
          <t>SKÅNE LÄN</t>
        </is>
      </c>
      <c r="E3068" t="inlineStr">
        <is>
          <t>OSBY</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19003-2025</t>
        </is>
      </c>
      <c r="B3069" s="1" t="n">
        <v>45764</v>
      </c>
      <c r="C3069" s="1" t="n">
        <v>45962</v>
      </c>
      <c r="D3069" t="inlineStr">
        <is>
          <t>SKÅNE LÄN</t>
        </is>
      </c>
      <c r="E3069" t="inlineStr">
        <is>
          <t>KÄVLINGE</t>
        </is>
      </c>
      <c r="G3069" t="n">
        <v>5.4</v>
      </c>
      <c r="H3069" t="n">
        <v>0</v>
      </c>
      <c r="I3069" t="n">
        <v>0</v>
      </c>
      <c r="J3069" t="n">
        <v>0</v>
      </c>
      <c r="K3069" t="n">
        <v>0</v>
      </c>
      <c r="L3069" t="n">
        <v>0</v>
      </c>
      <c r="M3069" t="n">
        <v>0</v>
      </c>
      <c r="N3069" t="n">
        <v>0</v>
      </c>
      <c r="O3069" t="n">
        <v>0</v>
      </c>
      <c r="P3069" t="n">
        <v>0</v>
      </c>
      <c r="Q3069" t="n">
        <v>0</v>
      </c>
      <c r="R3069" s="2" t="inlineStr"/>
    </row>
    <row r="3070" ht="15" customHeight="1">
      <c r="A3070" t="inlineStr">
        <is>
          <t>A 37501-2024</t>
        </is>
      </c>
      <c r="B3070" s="1" t="n">
        <v>45541.37159722222</v>
      </c>
      <c r="C3070" s="1" t="n">
        <v>45962</v>
      </c>
      <c r="D3070" t="inlineStr">
        <is>
          <t>SKÅNE LÄN</t>
        </is>
      </c>
      <c r="E3070" t="inlineStr">
        <is>
          <t>ÖRKELLJUNGA</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40035-2024</t>
        </is>
      </c>
      <c r="B3071" s="1" t="n">
        <v>45553</v>
      </c>
      <c r="C3071" s="1" t="n">
        <v>45962</v>
      </c>
      <c r="D3071" t="inlineStr">
        <is>
          <t>SKÅNE LÄN</t>
        </is>
      </c>
      <c r="E3071" t="inlineStr">
        <is>
          <t>OSBY</t>
        </is>
      </c>
      <c r="F3071" t="inlineStr">
        <is>
          <t>Kommuner</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1668-2024</t>
        </is>
      </c>
      <c r="B3072" s="1" t="n">
        <v>45306</v>
      </c>
      <c r="C3072" s="1" t="n">
        <v>45962</v>
      </c>
      <c r="D3072" t="inlineStr">
        <is>
          <t>SKÅNE LÄN</t>
        </is>
      </c>
      <c r="E3072" t="inlineStr">
        <is>
          <t>KRISTIANSTAD</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1736-2024</t>
        </is>
      </c>
      <c r="B3073" s="1" t="n">
        <v>45307</v>
      </c>
      <c r="C3073" s="1" t="n">
        <v>45962</v>
      </c>
      <c r="D3073" t="inlineStr">
        <is>
          <t>SKÅNE LÄN</t>
        </is>
      </c>
      <c r="E3073" t="inlineStr">
        <is>
          <t>KRISTIANSTAD</t>
        </is>
      </c>
      <c r="G3073" t="n">
        <v>3.4</v>
      </c>
      <c r="H3073" t="n">
        <v>0</v>
      </c>
      <c r="I3073" t="n">
        <v>0</v>
      </c>
      <c r="J3073" t="n">
        <v>0</v>
      </c>
      <c r="K3073" t="n">
        <v>0</v>
      </c>
      <c r="L3073" t="n">
        <v>0</v>
      </c>
      <c r="M3073" t="n">
        <v>0</v>
      </c>
      <c r="N3073" t="n">
        <v>0</v>
      </c>
      <c r="O3073" t="n">
        <v>0</v>
      </c>
      <c r="P3073" t="n">
        <v>0</v>
      </c>
      <c r="Q3073" t="n">
        <v>0</v>
      </c>
      <c r="R3073" s="2" t="inlineStr"/>
    </row>
    <row r="3074" ht="15" customHeight="1">
      <c r="A3074" t="inlineStr">
        <is>
          <t>A 44880-2022</t>
        </is>
      </c>
      <c r="B3074" s="1" t="n">
        <v>44841</v>
      </c>
      <c r="C3074" s="1" t="n">
        <v>45962</v>
      </c>
      <c r="D3074" t="inlineStr">
        <is>
          <t>SKÅNE LÄN</t>
        </is>
      </c>
      <c r="E3074" t="inlineStr">
        <is>
          <t>ÖRKELLJUNGA</t>
        </is>
      </c>
      <c r="G3074" t="n">
        <v>0.3</v>
      </c>
      <c r="H3074" t="n">
        <v>0</v>
      </c>
      <c r="I3074" t="n">
        <v>0</v>
      </c>
      <c r="J3074" t="n">
        <v>0</v>
      </c>
      <c r="K3074" t="n">
        <v>0</v>
      </c>
      <c r="L3074" t="n">
        <v>0</v>
      </c>
      <c r="M3074" t="n">
        <v>0</v>
      </c>
      <c r="N3074" t="n">
        <v>0</v>
      </c>
      <c r="O3074" t="n">
        <v>0</v>
      </c>
      <c r="P3074" t="n">
        <v>0</v>
      </c>
      <c r="Q3074" t="n">
        <v>0</v>
      </c>
      <c r="R3074" s="2" t="inlineStr"/>
    </row>
    <row r="3075" ht="15" customHeight="1">
      <c r="A3075" t="inlineStr">
        <is>
          <t>A 44891-2022</t>
        </is>
      </c>
      <c r="B3075" s="1" t="n">
        <v>44841</v>
      </c>
      <c r="C3075" s="1" t="n">
        <v>45962</v>
      </c>
      <c r="D3075" t="inlineStr">
        <is>
          <t>SKÅNE LÄN</t>
        </is>
      </c>
      <c r="E3075" t="inlineStr">
        <is>
          <t>KLIPPAN</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21222-2023</t>
        </is>
      </c>
      <c r="B3076" s="1" t="n">
        <v>45062</v>
      </c>
      <c r="C3076" s="1" t="n">
        <v>45962</v>
      </c>
      <c r="D3076" t="inlineStr">
        <is>
          <t>SKÅNE LÄN</t>
        </is>
      </c>
      <c r="E3076" t="inlineStr">
        <is>
          <t>OSBY</t>
        </is>
      </c>
      <c r="G3076" t="n">
        <v>6</v>
      </c>
      <c r="H3076" t="n">
        <v>0</v>
      </c>
      <c r="I3076" t="n">
        <v>0</v>
      </c>
      <c r="J3076" t="n">
        <v>0</v>
      </c>
      <c r="K3076" t="n">
        <v>0</v>
      </c>
      <c r="L3076" t="n">
        <v>0</v>
      </c>
      <c r="M3076" t="n">
        <v>0</v>
      </c>
      <c r="N3076" t="n">
        <v>0</v>
      </c>
      <c r="O3076" t="n">
        <v>0</v>
      </c>
      <c r="P3076" t="n">
        <v>0</v>
      </c>
      <c r="Q3076" t="n">
        <v>0</v>
      </c>
      <c r="R3076" s="2" t="inlineStr"/>
    </row>
    <row r="3077" ht="15" customHeight="1">
      <c r="A3077" t="inlineStr">
        <is>
          <t>A 16340-2024</t>
        </is>
      </c>
      <c r="B3077" s="1" t="n">
        <v>45407.56114583334</v>
      </c>
      <c r="C3077" s="1" t="n">
        <v>45962</v>
      </c>
      <c r="D3077" t="inlineStr">
        <is>
          <t>SKÅNE LÄN</t>
        </is>
      </c>
      <c r="E3077" t="inlineStr">
        <is>
          <t>SJÖBO</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1660-2025</t>
        </is>
      </c>
      <c r="B3078" s="1" t="n">
        <v>45670</v>
      </c>
      <c r="C3078" s="1" t="n">
        <v>45962</v>
      </c>
      <c r="D3078" t="inlineStr">
        <is>
          <t>SKÅNE LÄN</t>
        </is>
      </c>
      <c r="E3078" t="inlineStr">
        <is>
          <t>KRISTIANSTAD</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51565-2023</t>
        </is>
      </c>
      <c r="B3079" s="1" t="n">
        <v>45222</v>
      </c>
      <c r="C3079" s="1" t="n">
        <v>45962</v>
      </c>
      <c r="D3079" t="inlineStr">
        <is>
          <t>SKÅNE LÄN</t>
        </is>
      </c>
      <c r="E3079" t="inlineStr">
        <is>
          <t>HÄSSLEHOLM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21328-2023</t>
        </is>
      </c>
      <c r="B3080" s="1" t="n">
        <v>45062</v>
      </c>
      <c r="C3080" s="1" t="n">
        <v>45962</v>
      </c>
      <c r="D3080" t="inlineStr">
        <is>
          <t>SKÅNE LÄN</t>
        </is>
      </c>
      <c r="E3080" t="inlineStr">
        <is>
          <t>HÄSSLEHOLM</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18623-2023</t>
        </is>
      </c>
      <c r="B3081" s="1" t="n">
        <v>45043</v>
      </c>
      <c r="C3081" s="1" t="n">
        <v>45962</v>
      </c>
      <c r="D3081" t="inlineStr">
        <is>
          <t>SKÅNE LÄN</t>
        </is>
      </c>
      <c r="E3081" t="inlineStr">
        <is>
          <t>HÄSSLEHOLM</t>
        </is>
      </c>
      <c r="G3081" t="n">
        <v>3.2</v>
      </c>
      <c r="H3081" t="n">
        <v>0</v>
      </c>
      <c r="I3081" t="n">
        <v>0</v>
      </c>
      <c r="J3081" t="n">
        <v>0</v>
      </c>
      <c r="K3081" t="n">
        <v>0</v>
      </c>
      <c r="L3081" t="n">
        <v>0</v>
      </c>
      <c r="M3081" t="n">
        <v>0</v>
      </c>
      <c r="N3081" t="n">
        <v>0</v>
      </c>
      <c r="O3081" t="n">
        <v>0</v>
      </c>
      <c r="P3081" t="n">
        <v>0</v>
      </c>
      <c r="Q3081" t="n">
        <v>0</v>
      </c>
      <c r="R3081" s="2" t="inlineStr"/>
    </row>
    <row r="3082" ht="15" customHeight="1">
      <c r="A3082" t="inlineStr">
        <is>
          <t>A 3925-2021</t>
        </is>
      </c>
      <c r="B3082" s="1" t="n">
        <v>44222</v>
      </c>
      <c r="C3082" s="1" t="n">
        <v>45962</v>
      </c>
      <c r="D3082" t="inlineStr">
        <is>
          <t>SKÅNE LÄN</t>
        </is>
      </c>
      <c r="E3082" t="inlineStr">
        <is>
          <t>HÄSSLEHOLM</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3454-2022</t>
        </is>
      </c>
      <c r="B3083" s="1" t="n">
        <v>44585.57111111111</v>
      </c>
      <c r="C3083" s="1" t="n">
        <v>45962</v>
      </c>
      <c r="D3083" t="inlineStr">
        <is>
          <t>SKÅNE LÄN</t>
        </is>
      </c>
      <c r="E3083" t="inlineStr">
        <is>
          <t>OSBY</t>
        </is>
      </c>
      <c r="F3083" t="inlineStr">
        <is>
          <t>Sveaskog</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19710-2021</t>
        </is>
      </c>
      <c r="B3084" s="1" t="n">
        <v>44312.8218287037</v>
      </c>
      <c r="C3084" s="1" t="n">
        <v>45962</v>
      </c>
      <c r="D3084" t="inlineStr">
        <is>
          <t>SKÅNE LÄN</t>
        </is>
      </c>
      <c r="E3084" t="inlineStr">
        <is>
          <t>OSBY</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33873-2021</t>
        </is>
      </c>
      <c r="B3085" s="1" t="n">
        <v>44378</v>
      </c>
      <c r="C3085" s="1" t="n">
        <v>45962</v>
      </c>
      <c r="D3085" t="inlineStr">
        <is>
          <t>SKÅNE LÄN</t>
        </is>
      </c>
      <c r="E3085" t="inlineStr">
        <is>
          <t>HÄSSLEHOLM</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27281-2023</t>
        </is>
      </c>
      <c r="B3086" s="1" t="n">
        <v>45096</v>
      </c>
      <c r="C3086" s="1" t="n">
        <v>45962</v>
      </c>
      <c r="D3086" t="inlineStr">
        <is>
          <t>SKÅNE LÄN</t>
        </is>
      </c>
      <c r="E3086" t="inlineStr">
        <is>
          <t>OSBY</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27310-2023</t>
        </is>
      </c>
      <c r="B3087" s="1" t="n">
        <v>45096.65549768518</v>
      </c>
      <c r="C3087" s="1" t="n">
        <v>45962</v>
      </c>
      <c r="D3087" t="inlineStr">
        <is>
          <t>SKÅNE LÄN</t>
        </is>
      </c>
      <c r="E3087" t="inlineStr">
        <is>
          <t>SVALÖV</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60425-2022</t>
        </is>
      </c>
      <c r="B3088" s="1" t="n">
        <v>44911</v>
      </c>
      <c r="C3088" s="1" t="n">
        <v>45962</v>
      </c>
      <c r="D3088" t="inlineStr">
        <is>
          <t>SKÅNE LÄN</t>
        </is>
      </c>
      <c r="E3088" t="inlineStr">
        <is>
          <t>HÖÖR</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8139-2025</t>
        </is>
      </c>
      <c r="B3089" s="1" t="n">
        <v>45708.2620949074</v>
      </c>
      <c r="C3089" s="1" t="n">
        <v>45962</v>
      </c>
      <c r="D3089" t="inlineStr">
        <is>
          <t>SKÅNE LÄN</t>
        </is>
      </c>
      <c r="E3089" t="inlineStr">
        <is>
          <t>ÄNGELHOLM</t>
        </is>
      </c>
      <c r="G3089" t="n">
        <v>3.5</v>
      </c>
      <c r="H3089" t="n">
        <v>0</v>
      </c>
      <c r="I3089" t="n">
        <v>0</v>
      </c>
      <c r="J3089" t="n">
        <v>0</v>
      </c>
      <c r="K3089" t="n">
        <v>0</v>
      </c>
      <c r="L3089" t="n">
        <v>0</v>
      </c>
      <c r="M3089" t="n">
        <v>0</v>
      </c>
      <c r="N3089" t="n">
        <v>0</v>
      </c>
      <c r="O3089" t="n">
        <v>0</v>
      </c>
      <c r="P3089" t="n">
        <v>0</v>
      </c>
      <c r="Q3089" t="n">
        <v>0</v>
      </c>
      <c r="R3089" s="2" t="inlineStr"/>
    </row>
    <row r="3090" ht="15" customHeight="1">
      <c r="A3090" t="inlineStr">
        <is>
          <t>A 27005-2024</t>
        </is>
      </c>
      <c r="B3090" s="1" t="n">
        <v>45471.39585648148</v>
      </c>
      <c r="C3090" s="1" t="n">
        <v>45962</v>
      </c>
      <c r="D3090" t="inlineStr">
        <is>
          <t>SKÅNE LÄN</t>
        </is>
      </c>
      <c r="E3090" t="inlineStr">
        <is>
          <t>OSBY</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15053-2023</t>
        </is>
      </c>
      <c r="B3091" s="1" t="n">
        <v>45015</v>
      </c>
      <c r="C3091" s="1" t="n">
        <v>45962</v>
      </c>
      <c r="D3091" t="inlineStr">
        <is>
          <t>SKÅNE LÄN</t>
        </is>
      </c>
      <c r="E3091" t="inlineStr">
        <is>
          <t>HÄSSLEHOLM</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23484-2025</t>
        </is>
      </c>
      <c r="B3092" s="1" t="n">
        <v>45792</v>
      </c>
      <c r="C3092" s="1" t="n">
        <v>45962</v>
      </c>
      <c r="D3092" t="inlineStr">
        <is>
          <t>SKÅNE LÄN</t>
        </is>
      </c>
      <c r="E3092" t="inlineStr">
        <is>
          <t>HÖRBY</t>
        </is>
      </c>
      <c r="G3092" t="n">
        <v>3.5</v>
      </c>
      <c r="H3092" t="n">
        <v>0</v>
      </c>
      <c r="I3092" t="n">
        <v>0</v>
      </c>
      <c r="J3092" t="n">
        <v>0</v>
      </c>
      <c r="K3092" t="n">
        <v>0</v>
      </c>
      <c r="L3092" t="n">
        <v>0</v>
      </c>
      <c r="M3092" t="n">
        <v>0</v>
      </c>
      <c r="N3092" t="n">
        <v>0</v>
      </c>
      <c r="O3092" t="n">
        <v>0</v>
      </c>
      <c r="P3092" t="n">
        <v>0</v>
      </c>
      <c r="Q3092" t="n">
        <v>0</v>
      </c>
      <c r="R3092" s="2" t="inlineStr"/>
    </row>
    <row r="3093" ht="15" customHeight="1">
      <c r="A3093" t="inlineStr">
        <is>
          <t>A 10962-2025</t>
        </is>
      </c>
      <c r="B3093" s="1" t="n">
        <v>45723.37791666666</v>
      </c>
      <c r="C3093" s="1" t="n">
        <v>45962</v>
      </c>
      <c r="D3093" t="inlineStr">
        <is>
          <t>SKÅNE LÄN</t>
        </is>
      </c>
      <c r="E3093" t="inlineStr">
        <is>
          <t>KRISTIANSTAD</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25615-2025</t>
        </is>
      </c>
      <c r="B3094" s="1" t="n">
        <v>45803</v>
      </c>
      <c r="C3094" s="1" t="n">
        <v>45962</v>
      </c>
      <c r="D3094" t="inlineStr">
        <is>
          <t>SKÅNE LÄN</t>
        </is>
      </c>
      <c r="E3094" t="inlineStr">
        <is>
          <t>HÄSSLEHOLM</t>
        </is>
      </c>
      <c r="G3094" t="n">
        <v>2.6</v>
      </c>
      <c r="H3094" t="n">
        <v>0</v>
      </c>
      <c r="I3094" t="n">
        <v>0</v>
      </c>
      <c r="J3094" t="n">
        <v>0</v>
      </c>
      <c r="K3094" t="n">
        <v>0</v>
      </c>
      <c r="L3094" t="n">
        <v>0</v>
      </c>
      <c r="M3094" t="n">
        <v>0</v>
      </c>
      <c r="N3094" t="n">
        <v>0</v>
      </c>
      <c r="O3094" t="n">
        <v>0</v>
      </c>
      <c r="P3094" t="n">
        <v>0</v>
      </c>
      <c r="Q3094" t="n">
        <v>0</v>
      </c>
      <c r="R3094" s="2" t="inlineStr"/>
    </row>
    <row r="3095" ht="15" customHeight="1">
      <c r="A3095" t="inlineStr">
        <is>
          <t>A 39944-2024</t>
        </is>
      </c>
      <c r="B3095" s="1" t="n">
        <v>45553.57224537037</v>
      </c>
      <c r="C3095" s="1" t="n">
        <v>45962</v>
      </c>
      <c r="D3095" t="inlineStr">
        <is>
          <t>SKÅNE LÄN</t>
        </is>
      </c>
      <c r="E3095" t="inlineStr">
        <is>
          <t>KRISTIANSTAD</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25588-2025</t>
        </is>
      </c>
      <c r="B3096" s="1" t="n">
        <v>45803.49103009259</v>
      </c>
      <c r="C3096" s="1" t="n">
        <v>45962</v>
      </c>
      <c r="D3096" t="inlineStr">
        <is>
          <t>SKÅNE LÄN</t>
        </is>
      </c>
      <c r="E3096" t="inlineStr">
        <is>
          <t>ÖRKELLJUNGA</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12570-2023</t>
        </is>
      </c>
      <c r="B3097" s="1" t="n">
        <v>44999</v>
      </c>
      <c r="C3097" s="1" t="n">
        <v>45962</v>
      </c>
      <c r="D3097" t="inlineStr">
        <is>
          <t>SKÅNE LÄN</t>
        </is>
      </c>
      <c r="E3097" t="inlineStr">
        <is>
          <t>HÄSSLEHOLM</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2026-2022</t>
        </is>
      </c>
      <c r="B3098" s="1" t="n">
        <v>44575</v>
      </c>
      <c r="C3098" s="1" t="n">
        <v>45962</v>
      </c>
      <c r="D3098" t="inlineStr">
        <is>
          <t>SKÅNE LÄN</t>
        </is>
      </c>
      <c r="E3098" t="inlineStr">
        <is>
          <t>SJÖBO</t>
        </is>
      </c>
      <c r="G3098" t="n">
        <v>1.7</v>
      </c>
      <c r="H3098" t="n">
        <v>0</v>
      </c>
      <c r="I3098" t="n">
        <v>0</v>
      </c>
      <c r="J3098" t="n">
        <v>0</v>
      </c>
      <c r="K3098" t="n">
        <v>0</v>
      </c>
      <c r="L3098" t="n">
        <v>0</v>
      </c>
      <c r="M3098" t="n">
        <v>0</v>
      </c>
      <c r="N3098" t="n">
        <v>0</v>
      </c>
      <c r="O3098" t="n">
        <v>0</v>
      </c>
      <c r="P3098" t="n">
        <v>0</v>
      </c>
      <c r="Q3098" t="n">
        <v>0</v>
      </c>
      <c r="R3098" s="2" t="inlineStr"/>
    </row>
    <row r="3099" ht="15" customHeight="1">
      <c r="A3099" t="inlineStr">
        <is>
          <t>A 11412-2025</t>
        </is>
      </c>
      <c r="B3099" s="1" t="n">
        <v>45726</v>
      </c>
      <c r="C3099" s="1" t="n">
        <v>45962</v>
      </c>
      <c r="D3099" t="inlineStr">
        <is>
          <t>SKÅNE LÄN</t>
        </is>
      </c>
      <c r="E3099" t="inlineStr">
        <is>
          <t>HÄSSLEHOLM</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20429-2021</t>
        </is>
      </c>
      <c r="B3100" s="1" t="n">
        <v>44315.57037037037</v>
      </c>
      <c r="C3100" s="1" t="n">
        <v>45962</v>
      </c>
      <c r="D3100" t="inlineStr">
        <is>
          <t>SKÅNE LÄN</t>
        </is>
      </c>
      <c r="E3100" t="inlineStr">
        <is>
          <t>ÖSTRA GÖINGE</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20435-2021</t>
        </is>
      </c>
      <c r="B3101" s="1" t="n">
        <v>44315.5793287037</v>
      </c>
      <c r="C3101" s="1" t="n">
        <v>45962</v>
      </c>
      <c r="D3101" t="inlineStr">
        <is>
          <t>SKÅNE LÄN</t>
        </is>
      </c>
      <c r="E3101" t="inlineStr">
        <is>
          <t>HÄSSLEHOLM</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25219-2023</t>
        </is>
      </c>
      <c r="B3102" s="1" t="n">
        <v>45086.60541666667</v>
      </c>
      <c r="C3102" s="1" t="n">
        <v>45962</v>
      </c>
      <c r="D3102" t="inlineStr">
        <is>
          <t>SKÅNE LÄN</t>
        </is>
      </c>
      <c r="E3102" t="inlineStr">
        <is>
          <t>HÄSSLEHOLM</t>
        </is>
      </c>
      <c r="G3102" t="n">
        <v>6.9</v>
      </c>
      <c r="H3102" t="n">
        <v>0</v>
      </c>
      <c r="I3102" t="n">
        <v>0</v>
      </c>
      <c r="J3102" t="n">
        <v>0</v>
      </c>
      <c r="K3102" t="n">
        <v>0</v>
      </c>
      <c r="L3102" t="n">
        <v>0</v>
      </c>
      <c r="M3102" t="n">
        <v>0</v>
      </c>
      <c r="N3102" t="n">
        <v>0</v>
      </c>
      <c r="O3102" t="n">
        <v>0</v>
      </c>
      <c r="P3102" t="n">
        <v>0</v>
      </c>
      <c r="Q3102" t="n">
        <v>0</v>
      </c>
      <c r="R3102" s="2" t="inlineStr"/>
    </row>
    <row r="3103" ht="15" customHeight="1">
      <c r="A3103" t="inlineStr">
        <is>
          <t>A 25430-2025</t>
        </is>
      </c>
      <c r="B3103" s="1" t="n">
        <v>45800.78212962963</v>
      </c>
      <c r="C3103" s="1" t="n">
        <v>45962</v>
      </c>
      <c r="D3103" t="inlineStr">
        <is>
          <t>SKÅNE LÄN</t>
        </is>
      </c>
      <c r="E3103" t="inlineStr">
        <is>
          <t>HÄSSLEHOLM</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8207-2025</t>
        </is>
      </c>
      <c r="B3104" s="1" t="n">
        <v>45708.44108796296</v>
      </c>
      <c r="C3104" s="1" t="n">
        <v>45962</v>
      </c>
      <c r="D3104" t="inlineStr">
        <is>
          <t>SKÅNE LÄN</t>
        </is>
      </c>
      <c r="E3104" t="inlineStr">
        <is>
          <t>OSBY</t>
        </is>
      </c>
      <c r="G3104" t="n">
        <v>5.7</v>
      </c>
      <c r="H3104" t="n">
        <v>0</v>
      </c>
      <c r="I3104" t="n">
        <v>0</v>
      </c>
      <c r="J3104" t="n">
        <v>0</v>
      </c>
      <c r="K3104" t="n">
        <v>0</v>
      </c>
      <c r="L3104" t="n">
        <v>0</v>
      </c>
      <c r="M3104" t="n">
        <v>0</v>
      </c>
      <c r="N3104" t="n">
        <v>0</v>
      </c>
      <c r="O3104" t="n">
        <v>0</v>
      </c>
      <c r="P3104" t="n">
        <v>0</v>
      </c>
      <c r="Q3104" t="n">
        <v>0</v>
      </c>
      <c r="R3104" s="2" t="inlineStr"/>
    </row>
    <row r="3105" ht="15" customHeight="1">
      <c r="A3105" t="inlineStr">
        <is>
          <t>A 44853-2024</t>
        </is>
      </c>
      <c r="B3105" s="1" t="n">
        <v>45574</v>
      </c>
      <c r="C3105" s="1" t="n">
        <v>45962</v>
      </c>
      <c r="D3105" t="inlineStr">
        <is>
          <t>SKÅNE LÄN</t>
        </is>
      </c>
      <c r="E3105" t="inlineStr">
        <is>
          <t>ÖSTRA GÖINGE</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20813-2023</t>
        </is>
      </c>
      <c r="B3106" s="1" t="n">
        <v>45055</v>
      </c>
      <c r="C3106" s="1" t="n">
        <v>45962</v>
      </c>
      <c r="D3106" t="inlineStr">
        <is>
          <t>SKÅNE LÄN</t>
        </is>
      </c>
      <c r="E3106" t="inlineStr">
        <is>
          <t>OSBY</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53070-2023</t>
        </is>
      </c>
      <c r="B3107" s="1" t="n">
        <v>45227.51521990741</v>
      </c>
      <c r="C3107" s="1" t="n">
        <v>45962</v>
      </c>
      <c r="D3107" t="inlineStr">
        <is>
          <t>SKÅNE LÄN</t>
        </is>
      </c>
      <c r="E3107" t="inlineStr">
        <is>
          <t>ÖSTRA GÖINGE</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28442-2024</t>
        </is>
      </c>
      <c r="B3108" s="1" t="n">
        <v>45477</v>
      </c>
      <c r="C3108" s="1" t="n">
        <v>45962</v>
      </c>
      <c r="D3108" t="inlineStr">
        <is>
          <t>SKÅNE LÄN</t>
        </is>
      </c>
      <c r="E3108" t="inlineStr">
        <is>
          <t>KRISTIANSTAD</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60947-2024</t>
        </is>
      </c>
      <c r="B3109" s="1" t="n">
        <v>45645.38118055555</v>
      </c>
      <c r="C3109" s="1" t="n">
        <v>45962</v>
      </c>
      <c r="D3109" t="inlineStr">
        <is>
          <t>SKÅNE LÄN</t>
        </is>
      </c>
      <c r="E3109" t="inlineStr">
        <is>
          <t>SJÖBO</t>
        </is>
      </c>
      <c r="G3109" t="n">
        <v>2.6</v>
      </c>
      <c r="H3109" t="n">
        <v>0</v>
      </c>
      <c r="I3109" t="n">
        <v>0</v>
      </c>
      <c r="J3109" t="n">
        <v>0</v>
      </c>
      <c r="K3109" t="n">
        <v>0</v>
      </c>
      <c r="L3109" t="n">
        <v>0</v>
      </c>
      <c r="M3109" t="n">
        <v>0</v>
      </c>
      <c r="N3109" t="n">
        <v>0</v>
      </c>
      <c r="O3109" t="n">
        <v>0</v>
      </c>
      <c r="P3109" t="n">
        <v>0</v>
      </c>
      <c r="Q3109" t="n">
        <v>0</v>
      </c>
      <c r="R3109" s="2" t="inlineStr"/>
    </row>
    <row r="3110" ht="15" customHeight="1">
      <c r="A3110" t="inlineStr">
        <is>
          <t>A 9302-2025</t>
        </is>
      </c>
      <c r="B3110" s="1" t="n">
        <v>45714.67233796296</v>
      </c>
      <c r="C3110" s="1" t="n">
        <v>45962</v>
      </c>
      <c r="D3110" t="inlineStr">
        <is>
          <t>SKÅNE LÄN</t>
        </is>
      </c>
      <c r="E3110" t="inlineStr">
        <is>
          <t>HÄSSLEHOLM</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61087-2022</t>
        </is>
      </c>
      <c r="B3111" s="1" t="n">
        <v>44915</v>
      </c>
      <c r="C3111" s="1" t="n">
        <v>45962</v>
      </c>
      <c r="D3111" t="inlineStr">
        <is>
          <t>SKÅNE LÄN</t>
        </is>
      </c>
      <c r="E3111" t="inlineStr">
        <is>
          <t>HÖÖR</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51955-2024</t>
        </is>
      </c>
      <c r="B3112" s="1" t="n">
        <v>45607</v>
      </c>
      <c r="C3112" s="1" t="n">
        <v>45962</v>
      </c>
      <c r="D3112" t="inlineStr">
        <is>
          <t>SKÅNE LÄN</t>
        </is>
      </c>
      <c r="E3112" t="inlineStr">
        <is>
          <t>ÖSTRA GÖINGE</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52012-2024</t>
        </is>
      </c>
      <c r="B3113" s="1" t="n">
        <v>45607.78569444444</v>
      </c>
      <c r="C3113" s="1" t="n">
        <v>45962</v>
      </c>
      <c r="D3113" t="inlineStr">
        <is>
          <t>SKÅNE LÄN</t>
        </is>
      </c>
      <c r="E3113" t="inlineStr">
        <is>
          <t>KRISTIANSTAD</t>
        </is>
      </c>
      <c r="F3113" t="inlineStr">
        <is>
          <t>Övriga Aktiebolag</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9678-2025</t>
        </is>
      </c>
      <c r="B3114" s="1" t="n">
        <v>45716.34403935185</v>
      </c>
      <c r="C3114" s="1" t="n">
        <v>45962</v>
      </c>
      <c r="D3114" t="inlineStr">
        <is>
          <t>SKÅNE LÄN</t>
        </is>
      </c>
      <c r="E3114" t="inlineStr">
        <is>
          <t>HÄSSLEHOLM</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11466-2025</t>
        </is>
      </c>
      <c r="B3115" s="1" t="n">
        <v>45726</v>
      </c>
      <c r="C3115" s="1" t="n">
        <v>45962</v>
      </c>
      <c r="D3115" t="inlineStr">
        <is>
          <t>SKÅNE LÄN</t>
        </is>
      </c>
      <c r="E3115" t="inlineStr">
        <is>
          <t>HÄSSLEHOLM</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47907-2021</t>
        </is>
      </c>
      <c r="B3116" s="1" t="n">
        <v>44448</v>
      </c>
      <c r="C3116" s="1" t="n">
        <v>45962</v>
      </c>
      <c r="D3116" t="inlineStr">
        <is>
          <t>SKÅNE LÄN</t>
        </is>
      </c>
      <c r="E3116" t="inlineStr">
        <is>
          <t>HÄSSLEHOLM</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30601-2024</t>
        </is>
      </c>
      <c r="B3117" s="1" t="n">
        <v>45493.90299768518</v>
      </c>
      <c r="C3117" s="1" t="n">
        <v>45962</v>
      </c>
      <c r="D3117" t="inlineStr">
        <is>
          <t>SKÅNE LÄN</t>
        </is>
      </c>
      <c r="E3117" t="inlineStr">
        <is>
          <t>KRISTIANSTAD</t>
        </is>
      </c>
      <c r="G3117" t="n">
        <v>1.7</v>
      </c>
      <c r="H3117" t="n">
        <v>0</v>
      </c>
      <c r="I3117" t="n">
        <v>0</v>
      </c>
      <c r="J3117" t="n">
        <v>0</v>
      </c>
      <c r="K3117" t="n">
        <v>0</v>
      </c>
      <c r="L3117" t="n">
        <v>0</v>
      </c>
      <c r="M3117" t="n">
        <v>0</v>
      </c>
      <c r="N3117" t="n">
        <v>0</v>
      </c>
      <c r="O3117" t="n">
        <v>0</v>
      </c>
      <c r="P3117" t="n">
        <v>0</v>
      </c>
      <c r="Q3117" t="n">
        <v>0</v>
      </c>
      <c r="R3117" s="2" t="inlineStr"/>
    </row>
    <row r="3118" ht="15" customHeight="1">
      <c r="A3118" t="inlineStr">
        <is>
          <t>A 17856-2024</t>
        </is>
      </c>
      <c r="B3118" s="1" t="n">
        <v>45419</v>
      </c>
      <c r="C3118" s="1" t="n">
        <v>45962</v>
      </c>
      <c r="D3118" t="inlineStr">
        <is>
          <t>SKÅNE LÄN</t>
        </is>
      </c>
      <c r="E3118" t="inlineStr">
        <is>
          <t>KLIPPAN</t>
        </is>
      </c>
      <c r="F3118" t="inlineStr">
        <is>
          <t>Övriga Aktiebolag</t>
        </is>
      </c>
      <c r="G3118" t="n">
        <v>3.5</v>
      </c>
      <c r="H3118" t="n">
        <v>0</v>
      </c>
      <c r="I3118" t="n">
        <v>0</v>
      </c>
      <c r="J3118" t="n">
        <v>0</v>
      </c>
      <c r="K3118" t="n">
        <v>0</v>
      </c>
      <c r="L3118" t="n">
        <v>0</v>
      </c>
      <c r="M3118" t="n">
        <v>0</v>
      </c>
      <c r="N3118" t="n">
        <v>0</v>
      </c>
      <c r="O3118" t="n">
        <v>0</v>
      </c>
      <c r="P3118" t="n">
        <v>0</v>
      </c>
      <c r="Q3118" t="n">
        <v>0</v>
      </c>
      <c r="R3118" s="2" t="inlineStr"/>
    </row>
    <row r="3119" ht="15" customHeight="1">
      <c r="A3119" t="inlineStr">
        <is>
          <t>A 171-2025</t>
        </is>
      </c>
      <c r="B3119" s="1" t="n">
        <v>45659.64508101852</v>
      </c>
      <c r="C3119" s="1" t="n">
        <v>45962</v>
      </c>
      <c r="D3119" t="inlineStr">
        <is>
          <t>SKÅNE LÄN</t>
        </is>
      </c>
      <c r="E3119" t="inlineStr">
        <is>
          <t>ÖRKELLJUNGA</t>
        </is>
      </c>
      <c r="G3119" t="n">
        <v>2.1</v>
      </c>
      <c r="H3119" t="n">
        <v>0</v>
      </c>
      <c r="I3119" t="n">
        <v>0</v>
      </c>
      <c r="J3119" t="n">
        <v>0</v>
      </c>
      <c r="K3119" t="n">
        <v>0</v>
      </c>
      <c r="L3119" t="n">
        <v>0</v>
      </c>
      <c r="M3119" t="n">
        <v>0</v>
      </c>
      <c r="N3119" t="n">
        <v>0</v>
      </c>
      <c r="O3119" t="n">
        <v>0</v>
      </c>
      <c r="P3119" t="n">
        <v>0</v>
      </c>
      <c r="Q3119" t="n">
        <v>0</v>
      </c>
      <c r="R3119" s="2" t="inlineStr"/>
    </row>
    <row r="3120" ht="15" customHeight="1">
      <c r="A3120" t="inlineStr">
        <is>
          <t>A 13523-2024</t>
        </is>
      </c>
      <c r="B3120" s="1" t="n">
        <v>45387.745625</v>
      </c>
      <c r="C3120" s="1" t="n">
        <v>45962</v>
      </c>
      <c r="D3120" t="inlineStr">
        <is>
          <t>SKÅNE LÄN</t>
        </is>
      </c>
      <c r="E3120" t="inlineStr">
        <is>
          <t>KRISTIANSTAD</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24248-2024</t>
        </is>
      </c>
      <c r="B3121" s="1" t="n">
        <v>45457</v>
      </c>
      <c r="C3121" s="1" t="n">
        <v>45962</v>
      </c>
      <c r="D3121" t="inlineStr">
        <is>
          <t>SKÅNE LÄN</t>
        </is>
      </c>
      <c r="E3121" t="inlineStr">
        <is>
          <t>TOMELILLA</t>
        </is>
      </c>
      <c r="G3121" t="n">
        <v>2</v>
      </c>
      <c r="H3121" t="n">
        <v>0</v>
      </c>
      <c r="I3121" t="n">
        <v>0</v>
      </c>
      <c r="J3121" t="n">
        <v>0</v>
      </c>
      <c r="K3121" t="n">
        <v>0</v>
      </c>
      <c r="L3121" t="n">
        <v>0</v>
      </c>
      <c r="M3121" t="n">
        <v>0</v>
      </c>
      <c r="N3121" t="n">
        <v>0</v>
      </c>
      <c r="O3121" t="n">
        <v>0</v>
      </c>
      <c r="P3121" t="n">
        <v>0</v>
      </c>
      <c r="Q3121" t="n">
        <v>0</v>
      </c>
      <c r="R3121" s="2" t="inlineStr"/>
    </row>
    <row r="3122" ht="15" customHeight="1">
      <c r="A3122" t="inlineStr">
        <is>
          <t>A 1197-2024</t>
        </is>
      </c>
      <c r="B3122" s="1" t="n">
        <v>45302</v>
      </c>
      <c r="C3122" s="1" t="n">
        <v>45962</v>
      </c>
      <c r="D3122" t="inlineStr">
        <is>
          <t>SKÅNE LÄN</t>
        </is>
      </c>
      <c r="E3122" t="inlineStr">
        <is>
          <t>HÄSSLEHOLM</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25431-2025</t>
        </is>
      </c>
      <c r="B3123" s="1" t="n">
        <v>45800.78340277778</v>
      </c>
      <c r="C3123" s="1" t="n">
        <v>45962</v>
      </c>
      <c r="D3123" t="inlineStr">
        <is>
          <t>SKÅNE LÄN</t>
        </is>
      </c>
      <c r="E3123" t="inlineStr">
        <is>
          <t>HÄSSLEHOLM</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25432-2025</t>
        </is>
      </c>
      <c r="B3124" s="1" t="n">
        <v>45800.7847800926</v>
      </c>
      <c r="C3124" s="1" t="n">
        <v>45962</v>
      </c>
      <c r="D3124" t="inlineStr">
        <is>
          <t>SKÅNE LÄN</t>
        </is>
      </c>
      <c r="E3124" t="inlineStr">
        <is>
          <t>HÄSSLEHOLM</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16499-2025</t>
        </is>
      </c>
      <c r="B3125" s="1" t="n">
        <v>45751.60246527778</v>
      </c>
      <c r="C3125" s="1" t="n">
        <v>45962</v>
      </c>
      <c r="D3125" t="inlineStr">
        <is>
          <t>SKÅNE LÄN</t>
        </is>
      </c>
      <c r="E3125" t="inlineStr">
        <is>
          <t>LUND</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8017-2022</t>
        </is>
      </c>
      <c r="B3126" s="1" t="n">
        <v>44609.39615740741</v>
      </c>
      <c r="C3126" s="1" t="n">
        <v>45962</v>
      </c>
      <c r="D3126" t="inlineStr">
        <is>
          <t>SKÅNE LÄN</t>
        </is>
      </c>
      <c r="E3126" t="inlineStr">
        <is>
          <t>KLIPPAN</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13712-2025</t>
        </is>
      </c>
      <c r="B3127" s="1" t="n">
        <v>45737</v>
      </c>
      <c r="C3127" s="1" t="n">
        <v>45962</v>
      </c>
      <c r="D3127" t="inlineStr">
        <is>
          <t>SKÅNE LÄN</t>
        </is>
      </c>
      <c r="E3127" t="inlineStr">
        <is>
          <t>HÄSSLEHOLM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11470-2025</t>
        </is>
      </c>
      <c r="B3128" s="1" t="n">
        <v>45726</v>
      </c>
      <c r="C3128" s="1" t="n">
        <v>45962</v>
      </c>
      <c r="D3128" t="inlineStr">
        <is>
          <t>SKÅNE LÄN</t>
        </is>
      </c>
      <c r="E3128" t="inlineStr">
        <is>
          <t>HÄSSLEHOLM</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37358-2024</t>
        </is>
      </c>
      <c r="B3129" s="1" t="n">
        <v>45540.5496875</v>
      </c>
      <c r="C3129" s="1" t="n">
        <v>45962</v>
      </c>
      <c r="D3129" t="inlineStr">
        <is>
          <t>SKÅNE LÄN</t>
        </is>
      </c>
      <c r="E3129" t="inlineStr">
        <is>
          <t>OSBY</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44580-2023</t>
        </is>
      </c>
      <c r="B3130" s="1" t="n">
        <v>45189</v>
      </c>
      <c r="C3130" s="1" t="n">
        <v>45962</v>
      </c>
      <c r="D3130" t="inlineStr">
        <is>
          <t>SKÅNE LÄN</t>
        </is>
      </c>
      <c r="E3130" t="inlineStr">
        <is>
          <t>SJÖBO</t>
        </is>
      </c>
      <c r="F3130" t="inlineStr">
        <is>
          <t>Kommuner</t>
        </is>
      </c>
      <c r="G3130" t="n">
        <v>6.4</v>
      </c>
      <c r="H3130" t="n">
        <v>0</v>
      </c>
      <c r="I3130" t="n">
        <v>0</v>
      </c>
      <c r="J3130" t="n">
        <v>0</v>
      </c>
      <c r="K3130" t="n">
        <v>0</v>
      </c>
      <c r="L3130" t="n">
        <v>0</v>
      </c>
      <c r="M3130" t="n">
        <v>0</v>
      </c>
      <c r="N3130" t="n">
        <v>0</v>
      </c>
      <c r="O3130" t="n">
        <v>0</v>
      </c>
      <c r="P3130" t="n">
        <v>0</v>
      </c>
      <c r="Q3130" t="n">
        <v>0</v>
      </c>
      <c r="R3130" s="2" t="inlineStr"/>
    </row>
    <row r="3131" ht="15" customHeight="1">
      <c r="A3131" t="inlineStr">
        <is>
          <t>A 7306-2025</t>
        </is>
      </c>
      <c r="B3131" s="1" t="n">
        <v>45702</v>
      </c>
      <c r="C3131" s="1" t="n">
        <v>45962</v>
      </c>
      <c r="D3131" t="inlineStr">
        <is>
          <t>SKÅNE LÄN</t>
        </is>
      </c>
      <c r="E3131" t="inlineStr">
        <is>
          <t>HÄSSLEHOLM</t>
        </is>
      </c>
      <c r="F3131" t="inlineStr">
        <is>
          <t>Övriga Aktiebolag</t>
        </is>
      </c>
      <c r="G3131" t="n">
        <v>3.3</v>
      </c>
      <c r="H3131" t="n">
        <v>0</v>
      </c>
      <c r="I3131" t="n">
        <v>0</v>
      </c>
      <c r="J3131" t="n">
        <v>0</v>
      </c>
      <c r="K3131" t="n">
        <v>0</v>
      </c>
      <c r="L3131" t="n">
        <v>0</v>
      </c>
      <c r="M3131" t="n">
        <v>0</v>
      </c>
      <c r="N3131" t="n">
        <v>0</v>
      </c>
      <c r="O3131" t="n">
        <v>0</v>
      </c>
      <c r="P3131" t="n">
        <v>0</v>
      </c>
      <c r="Q3131" t="n">
        <v>0</v>
      </c>
      <c r="R3131" s="2" t="inlineStr"/>
    </row>
    <row r="3132" ht="15" customHeight="1">
      <c r="A3132" t="inlineStr">
        <is>
          <t>A 7308-2025</t>
        </is>
      </c>
      <c r="B3132" s="1" t="n">
        <v>45702</v>
      </c>
      <c r="C3132" s="1" t="n">
        <v>45962</v>
      </c>
      <c r="D3132" t="inlineStr">
        <is>
          <t>SKÅNE LÄN</t>
        </is>
      </c>
      <c r="E3132" t="inlineStr">
        <is>
          <t>HÄSSLEHOLM</t>
        </is>
      </c>
      <c r="F3132" t="inlineStr">
        <is>
          <t>Övriga Aktiebolag</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23813-2024</t>
        </is>
      </c>
      <c r="B3133" s="1" t="n">
        <v>45455</v>
      </c>
      <c r="C3133" s="1" t="n">
        <v>45962</v>
      </c>
      <c r="D3133" t="inlineStr">
        <is>
          <t>SKÅNE LÄN</t>
        </is>
      </c>
      <c r="E3133" t="inlineStr">
        <is>
          <t>TOMELILLA</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25824-2025</t>
        </is>
      </c>
      <c r="B3134" s="1" t="n">
        <v>45804.44163194444</v>
      </c>
      <c r="C3134" s="1" t="n">
        <v>45962</v>
      </c>
      <c r="D3134" t="inlineStr">
        <is>
          <t>SKÅNE LÄN</t>
        </is>
      </c>
      <c r="E3134" t="inlineStr">
        <is>
          <t>ÖSTRA GÖINGE</t>
        </is>
      </c>
      <c r="G3134" t="n">
        <v>2.3</v>
      </c>
      <c r="H3134" t="n">
        <v>0</v>
      </c>
      <c r="I3134" t="n">
        <v>0</v>
      </c>
      <c r="J3134" t="n">
        <v>0</v>
      </c>
      <c r="K3134" t="n">
        <v>0</v>
      </c>
      <c r="L3134" t="n">
        <v>0</v>
      </c>
      <c r="M3134" t="n">
        <v>0</v>
      </c>
      <c r="N3134" t="n">
        <v>0</v>
      </c>
      <c r="O3134" t="n">
        <v>0</v>
      </c>
      <c r="P3134" t="n">
        <v>0</v>
      </c>
      <c r="Q3134" t="n">
        <v>0</v>
      </c>
      <c r="R3134" s="2" t="inlineStr"/>
    </row>
    <row r="3135" ht="15" customHeight="1">
      <c r="A3135" t="inlineStr">
        <is>
          <t>A 49950-2023</t>
        </is>
      </c>
      <c r="B3135" s="1" t="n">
        <v>45215</v>
      </c>
      <c r="C3135" s="1" t="n">
        <v>45962</v>
      </c>
      <c r="D3135" t="inlineStr">
        <is>
          <t>SKÅNE LÄN</t>
        </is>
      </c>
      <c r="E3135" t="inlineStr">
        <is>
          <t>HÄSSLEHOLM</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52057-2021</t>
        </is>
      </c>
      <c r="B3136" s="1" t="n">
        <v>44463</v>
      </c>
      <c r="C3136" s="1" t="n">
        <v>45962</v>
      </c>
      <c r="D3136" t="inlineStr">
        <is>
          <t>SKÅNE LÄN</t>
        </is>
      </c>
      <c r="E3136" t="inlineStr">
        <is>
          <t>KRISTIANSTAD</t>
        </is>
      </c>
      <c r="G3136" t="n">
        <v>4.8</v>
      </c>
      <c r="H3136" t="n">
        <v>0</v>
      </c>
      <c r="I3136" t="n">
        <v>0</v>
      </c>
      <c r="J3136" t="n">
        <v>0</v>
      </c>
      <c r="K3136" t="n">
        <v>0</v>
      </c>
      <c r="L3136" t="n">
        <v>0</v>
      </c>
      <c r="M3136" t="n">
        <v>0</v>
      </c>
      <c r="N3136" t="n">
        <v>0</v>
      </c>
      <c r="O3136" t="n">
        <v>0</v>
      </c>
      <c r="P3136" t="n">
        <v>0</v>
      </c>
      <c r="Q3136" t="n">
        <v>0</v>
      </c>
      <c r="R3136" s="2" t="inlineStr"/>
    </row>
    <row r="3137" ht="15" customHeight="1">
      <c r="A3137" t="inlineStr">
        <is>
          <t>A 58250-2024</t>
        </is>
      </c>
      <c r="B3137" s="1" t="n">
        <v>45632.55643518519</v>
      </c>
      <c r="C3137" s="1" t="n">
        <v>45962</v>
      </c>
      <c r="D3137" t="inlineStr">
        <is>
          <t>SKÅNE LÄN</t>
        </is>
      </c>
      <c r="E3137" t="inlineStr">
        <is>
          <t>HÄSSLEHOLM</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41694-2024</t>
        </is>
      </c>
      <c r="B3138" s="1" t="n">
        <v>45560.68341435185</v>
      </c>
      <c r="C3138" s="1" t="n">
        <v>45962</v>
      </c>
      <c r="D3138" t="inlineStr">
        <is>
          <t>SKÅNE LÄN</t>
        </is>
      </c>
      <c r="E3138" t="inlineStr">
        <is>
          <t>HÄSSLEHOLM</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26032-2025</t>
        </is>
      </c>
      <c r="B3139" s="1" t="n">
        <v>45804.69063657407</v>
      </c>
      <c r="C3139" s="1" t="n">
        <v>45962</v>
      </c>
      <c r="D3139" t="inlineStr">
        <is>
          <t>SKÅNE LÄN</t>
        </is>
      </c>
      <c r="E3139" t="inlineStr">
        <is>
          <t>ÖRKELLJUNGA</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41547-2022</t>
        </is>
      </c>
      <c r="B3140" s="1" t="n">
        <v>44826</v>
      </c>
      <c r="C3140" s="1" t="n">
        <v>45962</v>
      </c>
      <c r="D3140" t="inlineStr">
        <is>
          <t>SKÅNE LÄN</t>
        </is>
      </c>
      <c r="E3140" t="inlineStr">
        <is>
          <t>OSBY</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11642-2025</t>
        </is>
      </c>
      <c r="B3141" s="1" t="n">
        <v>45727</v>
      </c>
      <c r="C3141" s="1" t="n">
        <v>45962</v>
      </c>
      <c r="D3141" t="inlineStr">
        <is>
          <t>SKÅNE LÄN</t>
        </is>
      </c>
      <c r="E3141" t="inlineStr">
        <is>
          <t>KRISTIANSTAD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31393-2021</t>
        </is>
      </c>
      <c r="B3142" s="1" t="n">
        <v>44368</v>
      </c>
      <c r="C3142" s="1" t="n">
        <v>45962</v>
      </c>
      <c r="D3142" t="inlineStr">
        <is>
          <t>SKÅNE LÄN</t>
        </is>
      </c>
      <c r="E3142" t="inlineStr">
        <is>
          <t>SVEDALA</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54671-2022</t>
        </is>
      </c>
      <c r="B3143" s="1" t="n">
        <v>44883</v>
      </c>
      <c r="C3143" s="1" t="n">
        <v>45962</v>
      </c>
      <c r="D3143" t="inlineStr">
        <is>
          <t>SKÅNE LÄN</t>
        </is>
      </c>
      <c r="E3143" t="inlineStr">
        <is>
          <t>HÄSSLEHOLM</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5730-2022</t>
        </is>
      </c>
      <c r="B3144" s="1" t="n">
        <v>44596</v>
      </c>
      <c r="C3144" s="1" t="n">
        <v>45962</v>
      </c>
      <c r="D3144" t="inlineStr">
        <is>
          <t>SKÅNE LÄN</t>
        </is>
      </c>
      <c r="E3144" t="inlineStr">
        <is>
          <t>HÖÖR</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5812-2022</t>
        </is>
      </c>
      <c r="B3145" s="1" t="n">
        <v>44596</v>
      </c>
      <c r="C3145" s="1" t="n">
        <v>45962</v>
      </c>
      <c r="D3145" t="inlineStr">
        <is>
          <t>SKÅNE LÄN</t>
        </is>
      </c>
      <c r="E3145" t="inlineStr">
        <is>
          <t>ESLÖV</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48427-2022</t>
        </is>
      </c>
      <c r="B3146" s="1" t="n">
        <v>44858</v>
      </c>
      <c r="C3146" s="1" t="n">
        <v>45962</v>
      </c>
      <c r="D3146" t="inlineStr">
        <is>
          <t>SKÅNE LÄN</t>
        </is>
      </c>
      <c r="E3146" t="inlineStr">
        <is>
          <t>HÖRBY</t>
        </is>
      </c>
      <c r="F3146" t="inlineStr">
        <is>
          <t>Sveaskog</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36795-2023</t>
        </is>
      </c>
      <c r="B3147" s="1" t="n">
        <v>45154.38245370371</v>
      </c>
      <c r="C3147" s="1" t="n">
        <v>45962</v>
      </c>
      <c r="D3147" t="inlineStr">
        <is>
          <t>SKÅNE LÄN</t>
        </is>
      </c>
      <c r="E3147" t="inlineStr">
        <is>
          <t>HÄSSLEHOLM</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36571-2024</t>
        </is>
      </c>
      <c r="B3148" s="1" t="n">
        <v>45537.49109953704</v>
      </c>
      <c r="C3148" s="1" t="n">
        <v>45962</v>
      </c>
      <c r="D3148" t="inlineStr">
        <is>
          <t>SKÅNE LÄN</t>
        </is>
      </c>
      <c r="E3148" t="inlineStr">
        <is>
          <t>OSBY</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46942-2024</t>
        </is>
      </c>
      <c r="B3149" s="1" t="n">
        <v>45585.6684375</v>
      </c>
      <c r="C3149" s="1" t="n">
        <v>45962</v>
      </c>
      <c r="D3149" t="inlineStr">
        <is>
          <t>SKÅNE LÄN</t>
        </is>
      </c>
      <c r="E3149" t="inlineStr">
        <is>
          <t>HÄSSLEHOLM</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8332-2025</t>
        </is>
      </c>
      <c r="B3150" s="1" t="n">
        <v>45708.64819444445</v>
      </c>
      <c r="C3150" s="1" t="n">
        <v>45962</v>
      </c>
      <c r="D3150" t="inlineStr">
        <is>
          <t>SKÅNE LÄN</t>
        </is>
      </c>
      <c r="E3150" t="inlineStr">
        <is>
          <t>SVALÖV</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22558-2021</t>
        </is>
      </c>
      <c r="B3151" s="1" t="n">
        <v>44326</v>
      </c>
      <c r="C3151" s="1" t="n">
        <v>45962</v>
      </c>
      <c r="D3151" t="inlineStr">
        <is>
          <t>SKÅNE LÄN</t>
        </is>
      </c>
      <c r="E3151" t="inlineStr">
        <is>
          <t>ÖSTRA GÖINGE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40739-2024</t>
        </is>
      </c>
      <c r="B3152" s="1" t="n">
        <v>45558</v>
      </c>
      <c r="C3152" s="1" t="n">
        <v>45962</v>
      </c>
      <c r="D3152" t="inlineStr">
        <is>
          <t>SKÅNE LÄN</t>
        </is>
      </c>
      <c r="E3152" t="inlineStr">
        <is>
          <t>HÄSSLEHOLM</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26020-2025</t>
        </is>
      </c>
      <c r="B3153" s="1" t="n">
        <v>45804.67818287037</v>
      </c>
      <c r="C3153" s="1" t="n">
        <v>45962</v>
      </c>
      <c r="D3153" t="inlineStr">
        <is>
          <t>SKÅNE LÄN</t>
        </is>
      </c>
      <c r="E3153" t="inlineStr">
        <is>
          <t>ÖRKELLJUNGA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27378-2022</t>
        </is>
      </c>
      <c r="B3154" s="1" t="n">
        <v>44742.46596064815</v>
      </c>
      <c r="C3154" s="1" t="n">
        <v>45962</v>
      </c>
      <c r="D3154" t="inlineStr">
        <is>
          <t>SKÅNE LÄN</t>
        </is>
      </c>
      <c r="E3154" t="inlineStr">
        <is>
          <t>OSBY</t>
        </is>
      </c>
      <c r="G3154" t="n">
        <v>3.7</v>
      </c>
      <c r="H3154" t="n">
        <v>0</v>
      </c>
      <c r="I3154" t="n">
        <v>0</v>
      </c>
      <c r="J3154" t="n">
        <v>0</v>
      </c>
      <c r="K3154" t="n">
        <v>0</v>
      </c>
      <c r="L3154" t="n">
        <v>0</v>
      </c>
      <c r="M3154" t="n">
        <v>0</v>
      </c>
      <c r="N3154" t="n">
        <v>0</v>
      </c>
      <c r="O3154" t="n">
        <v>0</v>
      </c>
      <c r="P3154" t="n">
        <v>0</v>
      </c>
      <c r="Q3154" t="n">
        <v>0</v>
      </c>
      <c r="R3154" s="2" t="inlineStr"/>
    </row>
    <row r="3155" ht="15" customHeight="1">
      <c r="A3155" t="inlineStr">
        <is>
          <t>A 74142-2021</t>
        </is>
      </c>
      <c r="B3155" s="1" t="n">
        <v>44557.95532407407</v>
      </c>
      <c r="C3155" s="1" t="n">
        <v>45962</v>
      </c>
      <c r="D3155" t="inlineStr">
        <is>
          <t>SKÅNE LÄN</t>
        </is>
      </c>
      <c r="E3155" t="inlineStr">
        <is>
          <t>ÖSTRA GÖINGE</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25860-2025</t>
        </is>
      </c>
      <c r="B3156" s="1" t="n">
        <v>45804</v>
      </c>
      <c r="C3156" s="1" t="n">
        <v>45962</v>
      </c>
      <c r="D3156" t="inlineStr">
        <is>
          <t>SKÅNE LÄN</t>
        </is>
      </c>
      <c r="E3156" t="inlineStr">
        <is>
          <t>KRISTIANSTAD</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15357-2023</t>
        </is>
      </c>
      <c r="B3157" s="1" t="n">
        <v>45019</v>
      </c>
      <c r="C3157" s="1" t="n">
        <v>45962</v>
      </c>
      <c r="D3157" t="inlineStr">
        <is>
          <t>SKÅNE LÄN</t>
        </is>
      </c>
      <c r="E3157" t="inlineStr">
        <is>
          <t>ESLÖV</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12911-2025</t>
        </is>
      </c>
      <c r="B3158" s="1" t="n">
        <v>45733.83363425926</v>
      </c>
      <c r="C3158" s="1" t="n">
        <v>45962</v>
      </c>
      <c r="D3158" t="inlineStr">
        <is>
          <t>SKÅNE LÄN</t>
        </is>
      </c>
      <c r="E3158" t="inlineStr">
        <is>
          <t>PERSTORP</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12912-2025</t>
        </is>
      </c>
      <c r="B3159" s="1" t="n">
        <v>45733</v>
      </c>
      <c r="C3159" s="1" t="n">
        <v>45962</v>
      </c>
      <c r="D3159" t="inlineStr">
        <is>
          <t>SKÅNE LÄN</t>
        </is>
      </c>
      <c r="E3159" t="inlineStr">
        <is>
          <t>PERSTORP</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58985-2022</t>
        </is>
      </c>
      <c r="B3160" s="1" t="n">
        <v>44903.69670138889</v>
      </c>
      <c r="C3160" s="1" t="n">
        <v>45962</v>
      </c>
      <c r="D3160" t="inlineStr">
        <is>
          <t>SKÅNE LÄN</t>
        </is>
      </c>
      <c r="E3160" t="inlineStr">
        <is>
          <t>SIMRISHAMN</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50138-2024</t>
        </is>
      </c>
      <c r="B3161" s="1" t="n">
        <v>45600.44368055555</v>
      </c>
      <c r="C3161" s="1" t="n">
        <v>45962</v>
      </c>
      <c r="D3161" t="inlineStr">
        <is>
          <t>SKÅNE LÄN</t>
        </is>
      </c>
      <c r="E3161" t="inlineStr">
        <is>
          <t>SIMRISHAMN</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3447-2024</t>
        </is>
      </c>
      <c r="B3162" s="1" t="n">
        <v>45320.37907407407</v>
      </c>
      <c r="C3162" s="1" t="n">
        <v>45962</v>
      </c>
      <c r="D3162" t="inlineStr">
        <is>
          <t>SKÅNE LÄN</t>
        </is>
      </c>
      <c r="E3162" t="inlineStr">
        <is>
          <t>ÖSTRA GÖINGE</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26222-2025</t>
        </is>
      </c>
      <c r="B3163" s="1" t="n">
        <v>45805.55434027778</v>
      </c>
      <c r="C3163" s="1" t="n">
        <v>45962</v>
      </c>
      <c r="D3163" t="inlineStr">
        <is>
          <t>SKÅNE LÄN</t>
        </is>
      </c>
      <c r="E3163" t="inlineStr">
        <is>
          <t>OSBY</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27590-2024</t>
        </is>
      </c>
      <c r="B3164" s="1" t="n">
        <v>45474</v>
      </c>
      <c r="C3164" s="1" t="n">
        <v>45962</v>
      </c>
      <c r="D3164" t="inlineStr">
        <is>
          <t>SKÅNE LÄN</t>
        </is>
      </c>
      <c r="E3164" t="inlineStr">
        <is>
          <t>KRISTIANSTAD</t>
        </is>
      </c>
      <c r="G3164" t="n">
        <v>4.7</v>
      </c>
      <c r="H3164" t="n">
        <v>0</v>
      </c>
      <c r="I3164" t="n">
        <v>0</v>
      </c>
      <c r="J3164" t="n">
        <v>0</v>
      </c>
      <c r="K3164" t="n">
        <v>0</v>
      </c>
      <c r="L3164" t="n">
        <v>0</v>
      </c>
      <c r="M3164" t="n">
        <v>0</v>
      </c>
      <c r="N3164" t="n">
        <v>0</v>
      </c>
      <c r="O3164" t="n">
        <v>0</v>
      </c>
      <c r="P3164" t="n">
        <v>0</v>
      </c>
      <c r="Q3164" t="n">
        <v>0</v>
      </c>
      <c r="R3164" s="2" t="inlineStr"/>
    </row>
    <row r="3165" ht="15" customHeight="1">
      <c r="A3165" t="inlineStr">
        <is>
          <t>A 13437-2023</t>
        </is>
      </c>
      <c r="B3165" s="1" t="n">
        <v>45005</v>
      </c>
      <c r="C3165" s="1" t="n">
        <v>45962</v>
      </c>
      <c r="D3165" t="inlineStr">
        <is>
          <t>SKÅNE LÄN</t>
        </is>
      </c>
      <c r="E3165" t="inlineStr">
        <is>
          <t>HÖÖR</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13932-2023</t>
        </is>
      </c>
      <c r="B3166" s="1" t="n">
        <v>45008.43935185186</v>
      </c>
      <c r="C3166" s="1" t="n">
        <v>45962</v>
      </c>
      <c r="D3166" t="inlineStr">
        <is>
          <t>SKÅNE LÄN</t>
        </is>
      </c>
      <c r="E3166" t="inlineStr">
        <is>
          <t>HÄSSLEHOLM</t>
        </is>
      </c>
      <c r="G3166" t="n">
        <v>3.3</v>
      </c>
      <c r="H3166" t="n">
        <v>0</v>
      </c>
      <c r="I3166" t="n">
        <v>0</v>
      </c>
      <c r="J3166" t="n">
        <v>0</v>
      </c>
      <c r="K3166" t="n">
        <v>0</v>
      </c>
      <c r="L3166" t="n">
        <v>0</v>
      </c>
      <c r="M3166" t="n">
        <v>0</v>
      </c>
      <c r="N3166" t="n">
        <v>0</v>
      </c>
      <c r="O3166" t="n">
        <v>0</v>
      </c>
      <c r="P3166" t="n">
        <v>0</v>
      </c>
      <c r="Q3166" t="n">
        <v>0</v>
      </c>
      <c r="R3166" s="2" t="inlineStr"/>
    </row>
    <row r="3167" ht="15" customHeight="1">
      <c r="A3167" t="inlineStr">
        <is>
          <t>A 30667-2023</t>
        </is>
      </c>
      <c r="B3167" s="1" t="n">
        <v>45112</v>
      </c>
      <c r="C3167" s="1" t="n">
        <v>45962</v>
      </c>
      <c r="D3167" t="inlineStr">
        <is>
          <t>SKÅNE LÄN</t>
        </is>
      </c>
      <c r="E3167" t="inlineStr">
        <is>
          <t>SIMRISHAMN</t>
        </is>
      </c>
      <c r="F3167" t="inlineStr">
        <is>
          <t>Övriga Aktiebolag</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36761-2022</t>
        </is>
      </c>
      <c r="B3168" s="1" t="n">
        <v>44805</v>
      </c>
      <c r="C3168" s="1" t="n">
        <v>45962</v>
      </c>
      <c r="D3168" t="inlineStr">
        <is>
          <t>SKÅNE LÄN</t>
        </is>
      </c>
      <c r="E3168" t="inlineStr">
        <is>
          <t>ESLÖV</t>
        </is>
      </c>
      <c r="G3168" t="n">
        <v>4.8</v>
      </c>
      <c r="H3168" t="n">
        <v>0</v>
      </c>
      <c r="I3168" t="n">
        <v>0</v>
      </c>
      <c r="J3168" t="n">
        <v>0</v>
      </c>
      <c r="K3168" t="n">
        <v>0</v>
      </c>
      <c r="L3168" t="n">
        <v>0</v>
      </c>
      <c r="M3168" t="n">
        <v>0</v>
      </c>
      <c r="N3168" t="n">
        <v>0</v>
      </c>
      <c r="O3168" t="n">
        <v>0</v>
      </c>
      <c r="P3168" t="n">
        <v>0</v>
      </c>
      <c r="Q3168" t="n">
        <v>0</v>
      </c>
      <c r="R3168" s="2" t="inlineStr"/>
    </row>
    <row r="3169" ht="15" customHeight="1">
      <c r="A3169" t="inlineStr">
        <is>
          <t>A 44579-2023</t>
        </is>
      </c>
      <c r="B3169" s="1" t="n">
        <v>45189</v>
      </c>
      <c r="C3169" s="1" t="n">
        <v>45962</v>
      </c>
      <c r="D3169" t="inlineStr">
        <is>
          <t>SKÅNE LÄN</t>
        </is>
      </c>
      <c r="E3169" t="inlineStr">
        <is>
          <t>KRISTIANSTAD</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43696-2024</t>
        </is>
      </c>
      <c r="B3170" s="1" t="n">
        <v>45569.58855324074</v>
      </c>
      <c r="C3170" s="1" t="n">
        <v>45962</v>
      </c>
      <c r="D3170" t="inlineStr">
        <is>
          <t>SKÅNE LÄN</t>
        </is>
      </c>
      <c r="E3170" t="inlineStr">
        <is>
          <t>HÄSSLEHOLM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6755-2022</t>
        </is>
      </c>
      <c r="B3171" s="1" t="n">
        <v>44602</v>
      </c>
      <c r="C3171" s="1" t="n">
        <v>45962</v>
      </c>
      <c r="D3171" t="inlineStr">
        <is>
          <t>SKÅNE LÄN</t>
        </is>
      </c>
      <c r="E3171" t="inlineStr">
        <is>
          <t>OSBY</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43724-2024</t>
        </is>
      </c>
      <c r="B3172" s="1" t="n">
        <v>45569.63178240741</v>
      </c>
      <c r="C3172" s="1" t="n">
        <v>45962</v>
      </c>
      <c r="D3172" t="inlineStr">
        <is>
          <t>SKÅNE LÄN</t>
        </is>
      </c>
      <c r="E3172" t="inlineStr">
        <is>
          <t>SIMRISHAMN</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25749-2025</t>
        </is>
      </c>
      <c r="B3173" s="1" t="n">
        <v>45804.29387731481</v>
      </c>
      <c r="C3173" s="1" t="n">
        <v>45962</v>
      </c>
      <c r="D3173" t="inlineStr">
        <is>
          <t>SKÅNE LÄN</t>
        </is>
      </c>
      <c r="E3173" t="inlineStr">
        <is>
          <t>HÖÖR</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63456-2023</t>
        </is>
      </c>
      <c r="B3174" s="1" t="n">
        <v>45273</v>
      </c>
      <c r="C3174" s="1" t="n">
        <v>45962</v>
      </c>
      <c r="D3174" t="inlineStr">
        <is>
          <t>SKÅNE LÄN</t>
        </is>
      </c>
      <c r="E3174" t="inlineStr">
        <is>
          <t>SIMRISHAMN</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35889-2023</t>
        </is>
      </c>
      <c r="B3175" s="1" t="n">
        <v>45148</v>
      </c>
      <c r="C3175" s="1" t="n">
        <v>45962</v>
      </c>
      <c r="D3175" t="inlineStr">
        <is>
          <t>SKÅNE LÄN</t>
        </is>
      </c>
      <c r="E3175" t="inlineStr">
        <is>
          <t>HÄSSLEHOLM</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35894-2023</t>
        </is>
      </c>
      <c r="B3176" s="1" t="n">
        <v>45148</v>
      </c>
      <c r="C3176" s="1" t="n">
        <v>45962</v>
      </c>
      <c r="D3176" t="inlineStr">
        <is>
          <t>SKÅNE LÄN</t>
        </is>
      </c>
      <c r="E3176" t="inlineStr">
        <is>
          <t>HÄSSLEHOLM</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38485-2023</t>
        </is>
      </c>
      <c r="B3177" s="1" t="n">
        <v>45162.47829861111</v>
      </c>
      <c r="C3177" s="1" t="n">
        <v>45962</v>
      </c>
      <c r="D3177" t="inlineStr">
        <is>
          <t>SKÅNE LÄN</t>
        </is>
      </c>
      <c r="E3177" t="inlineStr">
        <is>
          <t>OSBY</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56443-2023</t>
        </is>
      </c>
      <c r="B3178" s="1" t="n">
        <v>45243.47027777778</v>
      </c>
      <c r="C3178" s="1" t="n">
        <v>45962</v>
      </c>
      <c r="D3178" t="inlineStr">
        <is>
          <t>SKÅNE LÄN</t>
        </is>
      </c>
      <c r="E3178" t="inlineStr">
        <is>
          <t>OSBY</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14515-2023</t>
        </is>
      </c>
      <c r="B3179" s="1" t="n">
        <v>45012</v>
      </c>
      <c r="C3179" s="1" t="n">
        <v>45962</v>
      </c>
      <c r="D3179" t="inlineStr">
        <is>
          <t>SKÅNE LÄN</t>
        </is>
      </c>
      <c r="E3179" t="inlineStr">
        <is>
          <t>HÖÖR</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36706-2022</t>
        </is>
      </c>
      <c r="B3180" s="1" t="n">
        <v>44805.32891203704</v>
      </c>
      <c r="C3180" s="1" t="n">
        <v>45962</v>
      </c>
      <c r="D3180" t="inlineStr">
        <is>
          <t>SKÅNE LÄN</t>
        </is>
      </c>
      <c r="E3180" t="inlineStr">
        <is>
          <t>HÄSSLEHOLM</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6349-2024</t>
        </is>
      </c>
      <c r="B3181" s="1" t="n">
        <v>45338</v>
      </c>
      <c r="C3181" s="1" t="n">
        <v>45962</v>
      </c>
      <c r="D3181" t="inlineStr">
        <is>
          <t>SKÅNE LÄN</t>
        </is>
      </c>
      <c r="E3181" t="inlineStr">
        <is>
          <t>KRISTIANSTAD</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25809-2025</t>
        </is>
      </c>
      <c r="B3182" s="1" t="n">
        <v>45804.419375</v>
      </c>
      <c r="C3182" s="1" t="n">
        <v>45962</v>
      </c>
      <c r="D3182" t="inlineStr">
        <is>
          <t>SKÅNE LÄN</t>
        </is>
      </c>
      <c r="E3182" t="inlineStr">
        <is>
          <t>KRISTIANSTAD</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44448-2023</t>
        </is>
      </c>
      <c r="B3183" s="1" t="n">
        <v>45189</v>
      </c>
      <c r="C3183" s="1" t="n">
        <v>45962</v>
      </c>
      <c r="D3183" t="inlineStr">
        <is>
          <t>SKÅNE LÄN</t>
        </is>
      </c>
      <c r="E3183" t="inlineStr">
        <is>
          <t>ÄNGELHOLM</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45946-2022</t>
        </is>
      </c>
      <c r="B3184" s="1" t="n">
        <v>44845</v>
      </c>
      <c r="C3184" s="1" t="n">
        <v>45962</v>
      </c>
      <c r="D3184" t="inlineStr">
        <is>
          <t>SKÅNE LÄN</t>
        </is>
      </c>
      <c r="E3184" t="inlineStr">
        <is>
          <t>SIMRISHAMN</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40719-2022</t>
        </is>
      </c>
      <c r="B3185" s="1" t="n">
        <v>44824</v>
      </c>
      <c r="C3185" s="1" t="n">
        <v>45962</v>
      </c>
      <c r="D3185" t="inlineStr">
        <is>
          <t>SKÅNE LÄN</t>
        </is>
      </c>
      <c r="E3185" t="inlineStr">
        <is>
          <t>BROMÖLLA</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45299-2024</t>
        </is>
      </c>
      <c r="B3186" s="1" t="n">
        <v>45576.40599537037</v>
      </c>
      <c r="C3186" s="1" t="n">
        <v>45962</v>
      </c>
      <c r="D3186" t="inlineStr">
        <is>
          <t>SKÅNE LÄN</t>
        </is>
      </c>
      <c r="E3186" t="inlineStr">
        <is>
          <t>HÄSSLEHOLM</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59432-2022</t>
        </is>
      </c>
      <c r="B3187" s="1" t="n">
        <v>44907</v>
      </c>
      <c r="C3187" s="1" t="n">
        <v>45962</v>
      </c>
      <c r="D3187" t="inlineStr">
        <is>
          <t>SKÅNE LÄN</t>
        </is>
      </c>
      <c r="E3187" t="inlineStr">
        <is>
          <t>SVEDALA</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26232-2025</t>
        </is>
      </c>
      <c r="B3188" s="1" t="n">
        <v>45805.56642361111</v>
      </c>
      <c r="C3188" s="1" t="n">
        <v>45962</v>
      </c>
      <c r="D3188" t="inlineStr">
        <is>
          <t>SKÅNE LÄN</t>
        </is>
      </c>
      <c r="E3188" t="inlineStr">
        <is>
          <t>HÄSSLEHOLM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325-2024</t>
        </is>
      </c>
      <c r="B3189" s="1" t="n">
        <v>45295</v>
      </c>
      <c r="C3189" s="1" t="n">
        <v>45962</v>
      </c>
      <c r="D3189" t="inlineStr">
        <is>
          <t>SKÅNE LÄN</t>
        </is>
      </c>
      <c r="E3189" t="inlineStr">
        <is>
          <t>BJUV</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22594-2024</t>
        </is>
      </c>
      <c r="B3190" s="1" t="n">
        <v>45447.60892361111</v>
      </c>
      <c r="C3190" s="1" t="n">
        <v>45962</v>
      </c>
      <c r="D3190" t="inlineStr">
        <is>
          <t>SKÅNE LÄN</t>
        </is>
      </c>
      <c r="E3190" t="inlineStr">
        <is>
          <t>HÄSSLEHOLM</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25176-2024</t>
        </is>
      </c>
      <c r="B3191" s="1" t="n">
        <v>45462.54582175926</v>
      </c>
      <c r="C3191" s="1" t="n">
        <v>45962</v>
      </c>
      <c r="D3191" t="inlineStr">
        <is>
          <t>SKÅNE LÄN</t>
        </is>
      </c>
      <c r="E3191" t="inlineStr">
        <is>
          <t>HÄSSLEHOLM</t>
        </is>
      </c>
      <c r="G3191" t="n">
        <v>3.8</v>
      </c>
      <c r="H3191" t="n">
        <v>0</v>
      </c>
      <c r="I3191" t="n">
        <v>0</v>
      </c>
      <c r="J3191" t="n">
        <v>0</v>
      </c>
      <c r="K3191" t="n">
        <v>0</v>
      </c>
      <c r="L3191" t="n">
        <v>0</v>
      </c>
      <c r="M3191" t="n">
        <v>0</v>
      </c>
      <c r="N3191" t="n">
        <v>0</v>
      </c>
      <c r="O3191" t="n">
        <v>0</v>
      </c>
      <c r="P3191" t="n">
        <v>0</v>
      </c>
      <c r="Q3191" t="n">
        <v>0</v>
      </c>
      <c r="R3191" s="2" t="inlineStr"/>
    </row>
    <row r="3192" ht="15" customHeight="1">
      <c r="A3192" t="inlineStr">
        <is>
          <t>A 26757-2023</t>
        </is>
      </c>
      <c r="B3192" s="1" t="n">
        <v>45093</v>
      </c>
      <c r="C3192" s="1" t="n">
        <v>45962</v>
      </c>
      <c r="D3192" t="inlineStr">
        <is>
          <t>SKÅNE LÄN</t>
        </is>
      </c>
      <c r="E3192" t="inlineStr">
        <is>
          <t>HÖÖR</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26780-2023</t>
        </is>
      </c>
      <c r="B3193" s="1" t="n">
        <v>45093.48739583333</v>
      </c>
      <c r="C3193" s="1" t="n">
        <v>45962</v>
      </c>
      <c r="D3193" t="inlineStr">
        <is>
          <t>SKÅNE LÄN</t>
        </is>
      </c>
      <c r="E3193" t="inlineStr">
        <is>
          <t>OSBY</t>
        </is>
      </c>
      <c r="G3193" t="n">
        <v>2.9</v>
      </c>
      <c r="H3193" t="n">
        <v>0</v>
      </c>
      <c r="I3193" t="n">
        <v>0</v>
      </c>
      <c r="J3193" t="n">
        <v>0</v>
      </c>
      <c r="K3193" t="n">
        <v>0</v>
      </c>
      <c r="L3193" t="n">
        <v>0</v>
      </c>
      <c r="M3193" t="n">
        <v>0</v>
      </c>
      <c r="N3193" t="n">
        <v>0</v>
      </c>
      <c r="O3193" t="n">
        <v>0</v>
      </c>
      <c r="P3193" t="n">
        <v>0</v>
      </c>
      <c r="Q3193" t="n">
        <v>0</v>
      </c>
      <c r="R3193" s="2" t="inlineStr"/>
    </row>
    <row r="3194" ht="15" customHeight="1">
      <c r="A3194" t="inlineStr">
        <is>
          <t>A 55049-2023</t>
        </is>
      </c>
      <c r="B3194" s="1" t="n">
        <v>45237</v>
      </c>
      <c r="C3194" s="1" t="n">
        <v>45962</v>
      </c>
      <c r="D3194" t="inlineStr">
        <is>
          <t>SKÅNE LÄN</t>
        </is>
      </c>
      <c r="E3194" t="inlineStr">
        <is>
          <t>ÖRKELLJUNGA</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19149-2024</t>
        </is>
      </c>
      <c r="B3195" s="1" t="n">
        <v>45428.43583333334</v>
      </c>
      <c r="C3195" s="1" t="n">
        <v>45962</v>
      </c>
      <c r="D3195" t="inlineStr">
        <is>
          <t>SKÅNE LÄN</t>
        </is>
      </c>
      <c r="E3195" t="inlineStr">
        <is>
          <t>ÖSTRA GÖINGE</t>
        </is>
      </c>
      <c r="G3195" t="n">
        <v>5.2</v>
      </c>
      <c r="H3195" t="n">
        <v>0</v>
      </c>
      <c r="I3195" t="n">
        <v>0</v>
      </c>
      <c r="J3195" t="n">
        <v>0</v>
      </c>
      <c r="K3195" t="n">
        <v>0</v>
      </c>
      <c r="L3195" t="n">
        <v>0</v>
      </c>
      <c r="M3195" t="n">
        <v>0</v>
      </c>
      <c r="N3195" t="n">
        <v>0</v>
      </c>
      <c r="O3195" t="n">
        <v>0</v>
      </c>
      <c r="P3195" t="n">
        <v>0</v>
      </c>
      <c r="Q3195" t="n">
        <v>0</v>
      </c>
      <c r="R3195" s="2" t="inlineStr"/>
    </row>
    <row r="3196" ht="15" customHeight="1">
      <c r="A3196" t="inlineStr">
        <is>
          <t>A 7771-2021</t>
        </is>
      </c>
      <c r="B3196" s="1" t="n">
        <v>44242</v>
      </c>
      <c r="C3196" s="1" t="n">
        <v>45962</v>
      </c>
      <c r="D3196" t="inlineStr">
        <is>
          <t>SKÅNE LÄN</t>
        </is>
      </c>
      <c r="E3196" t="inlineStr">
        <is>
          <t>HÄSSLEHOLM</t>
        </is>
      </c>
      <c r="G3196" t="n">
        <v>4.2</v>
      </c>
      <c r="H3196" t="n">
        <v>0</v>
      </c>
      <c r="I3196" t="n">
        <v>0</v>
      </c>
      <c r="J3196" t="n">
        <v>0</v>
      </c>
      <c r="K3196" t="n">
        <v>0</v>
      </c>
      <c r="L3196" t="n">
        <v>0</v>
      </c>
      <c r="M3196" t="n">
        <v>0</v>
      </c>
      <c r="N3196" t="n">
        <v>0</v>
      </c>
      <c r="O3196" t="n">
        <v>0</v>
      </c>
      <c r="P3196" t="n">
        <v>0</v>
      </c>
      <c r="Q3196" t="n">
        <v>0</v>
      </c>
      <c r="R3196" s="2" t="inlineStr"/>
    </row>
    <row r="3197" ht="15" customHeight="1">
      <c r="A3197" t="inlineStr">
        <is>
          <t>A 9691-2023</t>
        </is>
      </c>
      <c r="B3197" s="1" t="n">
        <v>44984</v>
      </c>
      <c r="C3197" s="1" t="n">
        <v>45962</v>
      </c>
      <c r="D3197" t="inlineStr">
        <is>
          <t>SKÅNE LÄN</t>
        </is>
      </c>
      <c r="E3197" t="inlineStr">
        <is>
          <t>ÖRKELLJUNGA</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44741-2023</t>
        </is>
      </c>
      <c r="B3198" s="1" t="n">
        <v>45190.38804398148</v>
      </c>
      <c r="C3198" s="1" t="n">
        <v>45962</v>
      </c>
      <c r="D3198" t="inlineStr">
        <is>
          <t>SKÅNE LÄN</t>
        </is>
      </c>
      <c r="E3198" t="inlineStr">
        <is>
          <t>HÄSSLEHOLM</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15987-2025</t>
        </is>
      </c>
      <c r="B3199" s="1" t="n">
        <v>45749</v>
      </c>
      <c r="C3199" s="1" t="n">
        <v>45962</v>
      </c>
      <c r="D3199" t="inlineStr">
        <is>
          <t>SKÅNE LÄN</t>
        </is>
      </c>
      <c r="E3199" t="inlineStr">
        <is>
          <t>ÖRKELLJUNGA</t>
        </is>
      </c>
      <c r="G3199" t="n">
        <v>6</v>
      </c>
      <c r="H3199" t="n">
        <v>0</v>
      </c>
      <c r="I3199" t="n">
        <v>0</v>
      </c>
      <c r="J3199" t="n">
        <v>0</v>
      </c>
      <c r="K3199" t="n">
        <v>0</v>
      </c>
      <c r="L3199" t="n">
        <v>0</v>
      </c>
      <c r="M3199" t="n">
        <v>0</v>
      </c>
      <c r="N3199" t="n">
        <v>0</v>
      </c>
      <c r="O3199" t="n">
        <v>0</v>
      </c>
      <c r="P3199" t="n">
        <v>0</v>
      </c>
      <c r="Q3199" t="n">
        <v>0</v>
      </c>
      <c r="R3199" s="2" t="inlineStr"/>
    </row>
    <row r="3200" ht="15" customHeight="1">
      <c r="A3200" t="inlineStr">
        <is>
          <t>A 25934-2022</t>
        </is>
      </c>
      <c r="B3200" s="1" t="n">
        <v>44734</v>
      </c>
      <c r="C3200" s="1" t="n">
        <v>45962</v>
      </c>
      <c r="D3200" t="inlineStr">
        <is>
          <t>SKÅNE LÄN</t>
        </is>
      </c>
      <c r="E3200" t="inlineStr">
        <is>
          <t>HÖÖR</t>
        </is>
      </c>
      <c r="F3200" t="inlineStr">
        <is>
          <t>Övriga statliga verk och myndigheter</t>
        </is>
      </c>
      <c r="G3200" t="n">
        <v>0.3</v>
      </c>
      <c r="H3200" t="n">
        <v>0</v>
      </c>
      <c r="I3200" t="n">
        <v>0</v>
      </c>
      <c r="J3200" t="n">
        <v>0</v>
      </c>
      <c r="K3200" t="n">
        <v>0</v>
      </c>
      <c r="L3200" t="n">
        <v>0</v>
      </c>
      <c r="M3200" t="n">
        <v>0</v>
      </c>
      <c r="N3200" t="n">
        <v>0</v>
      </c>
      <c r="O3200" t="n">
        <v>0</v>
      </c>
      <c r="P3200" t="n">
        <v>0</v>
      </c>
      <c r="Q3200" t="n">
        <v>0</v>
      </c>
      <c r="R3200" s="2" t="inlineStr"/>
    </row>
    <row r="3201" ht="15" customHeight="1">
      <c r="A3201" t="inlineStr">
        <is>
          <t>A 26244-2025</t>
        </is>
      </c>
      <c r="B3201" s="1" t="n">
        <v>45805.57364583333</v>
      </c>
      <c r="C3201" s="1" t="n">
        <v>45962</v>
      </c>
      <c r="D3201" t="inlineStr">
        <is>
          <t>SKÅNE LÄN</t>
        </is>
      </c>
      <c r="E3201" t="inlineStr">
        <is>
          <t>HÄSSLEHOLM</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31503-2023</t>
        </is>
      </c>
      <c r="B3202" s="1" t="n">
        <v>45115</v>
      </c>
      <c r="C3202" s="1" t="n">
        <v>45962</v>
      </c>
      <c r="D3202" t="inlineStr">
        <is>
          <t>SKÅNE LÄN</t>
        </is>
      </c>
      <c r="E3202" t="inlineStr">
        <is>
          <t>ÄNGELHOLM</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7476-2025</t>
        </is>
      </c>
      <c r="B3203" s="1" t="n">
        <v>45702</v>
      </c>
      <c r="C3203" s="1" t="n">
        <v>45962</v>
      </c>
      <c r="D3203" t="inlineStr">
        <is>
          <t>SKÅNE LÄN</t>
        </is>
      </c>
      <c r="E3203" t="inlineStr">
        <is>
          <t>HÄSSLEHOLM</t>
        </is>
      </c>
      <c r="F3203" t="inlineStr">
        <is>
          <t>Övriga Aktiebolag</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7513-2025</t>
        </is>
      </c>
      <c r="B3204" s="1" t="n">
        <v>45702</v>
      </c>
      <c r="C3204" s="1" t="n">
        <v>45962</v>
      </c>
      <c r="D3204" t="inlineStr">
        <is>
          <t>SKÅNE LÄN</t>
        </is>
      </c>
      <c r="E3204" t="inlineStr">
        <is>
          <t>HÄSSLEHOLM</t>
        </is>
      </c>
      <c r="F3204" t="inlineStr">
        <is>
          <t>Övriga Aktiebolag</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7515-2025</t>
        </is>
      </c>
      <c r="B3205" s="1" t="n">
        <v>45702</v>
      </c>
      <c r="C3205" s="1" t="n">
        <v>45962</v>
      </c>
      <c r="D3205" t="inlineStr">
        <is>
          <t>SKÅNE LÄN</t>
        </is>
      </c>
      <c r="E3205" t="inlineStr">
        <is>
          <t>KLIPPAN</t>
        </is>
      </c>
      <c r="F3205" t="inlineStr">
        <is>
          <t>Övriga Aktiebolag</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5537-2021</t>
        </is>
      </c>
      <c r="B3206" s="1" t="n">
        <v>44228</v>
      </c>
      <c r="C3206" s="1" t="n">
        <v>45962</v>
      </c>
      <c r="D3206" t="inlineStr">
        <is>
          <t>SKÅNE LÄN</t>
        </is>
      </c>
      <c r="E3206" t="inlineStr">
        <is>
          <t>OSBY</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25213-2023</t>
        </is>
      </c>
      <c r="B3207" s="1" t="n">
        <v>45086.60010416667</v>
      </c>
      <c r="C3207" s="1" t="n">
        <v>45962</v>
      </c>
      <c r="D3207" t="inlineStr">
        <is>
          <t>SKÅNE LÄN</t>
        </is>
      </c>
      <c r="E3207" t="inlineStr">
        <is>
          <t>HÄSSLEHOLM</t>
        </is>
      </c>
      <c r="G3207" t="n">
        <v>7.2</v>
      </c>
      <c r="H3207" t="n">
        <v>0</v>
      </c>
      <c r="I3207" t="n">
        <v>0</v>
      </c>
      <c r="J3207" t="n">
        <v>0</v>
      </c>
      <c r="K3207" t="n">
        <v>0</v>
      </c>
      <c r="L3207" t="n">
        <v>0</v>
      </c>
      <c r="M3207" t="n">
        <v>0</v>
      </c>
      <c r="N3207" t="n">
        <v>0</v>
      </c>
      <c r="O3207" t="n">
        <v>0</v>
      </c>
      <c r="P3207" t="n">
        <v>0</v>
      </c>
      <c r="Q3207" t="n">
        <v>0</v>
      </c>
      <c r="R3207" s="2" t="inlineStr"/>
    </row>
    <row r="3208" ht="15" customHeight="1">
      <c r="A3208" t="inlineStr">
        <is>
          <t>A 31161-2024</t>
        </is>
      </c>
      <c r="B3208" s="1" t="n">
        <v>45503</v>
      </c>
      <c r="C3208" s="1" t="n">
        <v>45962</v>
      </c>
      <c r="D3208" t="inlineStr">
        <is>
          <t>SKÅNE LÄN</t>
        </is>
      </c>
      <c r="E3208" t="inlineStr">
        <is>
          <t>HÄSSLEHOLM</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43276-2023</t>
        </is>
      </c>
      <c r="B3209" s="1" t="n">
        <v>45180</v>
      </c>
      <c r="C3209" s="1" t="n">
        <v>45962</v>
      </c>
      <c r="D3209" t="inlineStr">
        <is>
          <t>SKÅNE LÄN</t>
        </is>
      </c>
      <c r="E3209" t="inlineStr">
        <is>
          <t>BROMÖLLA</t>
        </is>
      </c>
      <c r="G3209" t="n">
        <v>5.6</v>
      </c>
      <c r="H3209" t="n">
        <v>0</v>
      </c>
      <c r="I3209" t="n">
        <v>0</v>
      </c>
      <c r="J3209" t="n">
        <v>0</v>
      </c>
      <c r="K3209" t="n">
        <v>0</v>
      </c>
      <c r="L3209" t="n">
        <v>0</v>
      </c>
      <c r="M3209" t="n">
        <v>0</v>
      </c>
      <c r="N3209" t="n">
        <v>0</v>
      </c>
      <c r="O3209" t="n">
        <v>0</v>
      </c>
      <c r="P3209" t="n">
        <v>0</v>
      </c>
      <c r="Q3209" t="n">
        <v>0</v>
      </c>
      <c r="R3209" s="2" t="inlineStr"/>
    </row>
    <row r="3210" ht="15" customHeight="1">
      <c r="A3210" t="inlineStr">
        <is>
          <t>A 57208-2022</t>
        </is>
      </c>
      <c r="B3210" s="1" t="n">
        <v>44895</v>
      </c>
      <c r="C3210" s="1" t="n">
        <v>45962</v>
      </c>
      <c r="D3210" t="inlineStr">
        <is>
          <t>SKÅNE LÄN</t>
        </is>
      </c>
      <c r="E3210" t="inlineStr">
        <is>
          <t>ÖRKELLJUNGA</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57218-2022</t>
        </is>
      </c>
      <c r="B3211" s="1" t="n">
        <v>44895.65883101852</v>
      </c>
      <c r="C3211" s="1" t="n">
        <v>45962</v>
      </c>
      <c r="D3211" t="inlineStr">
        <is>
          <t>SKÅNE LÄN</t>
        </is>
      </c>
      <c r="E3211" t="inlineStr">
        <is>
          <t>OSBY</t>
        </is>
      </c>
      <c r="G3211" t="n">
        <v>3.9</v>
      </c>
      <c r="H3211" t="n">
        <v>0</v>
      </c>
      <c r="I3211" t="n">
        <v>0</v>
      </c>
      <c r="J3211" t="n">
        <v>0</v>
      </c>
      <c r="K3211" t="n">
        <v>0</v>
      </c>
      <c r="L3211" t="n">
        <v>0</v>
      </c>
      <c r="M3211" t="n">
        <v>0</v>
      </c>
      <c r="N3211" t="n">
        <v>0</v>
      </c>
      <c r="O3211" t="n">
        <v>0</v>
      </c>
      <c r="P3211" t="n">
        <v>0</v>
      </c>
      <c r="Q3211" t="n">
        <v>0</v>
      </c>
      <c r="R3211" s="2" t="inlineStr"/>
    </row>
    <row r="3212" ht="15" customHeight="1">
      <c r="A3212" t="inlineStr">
        <is>
          <t>A 26509-2025</t>
        </is>
      </c>
      <c r="B3212" s="1" t="n">
        <v>45807.5277662037</v>
      </c>
      <c r="C3212" s="1" t="n">
        <v>45962</v>
      </c>
      <c r="D3212" t="inlineStr">
        <is>
          <t>SKÅNE LÄN</t>
        </is>
      </c>
      <c r="E3212" t="inlineStr">
        <is>
          <t>ÖSTRA GÖINGE</t>
        </is>
      </c>
      <c r="G3212" t="n">
        <v>0.4</v>
      </c>
      <c r="H3212" t="n">
        <v>0</v>
      </c>
      <c r="I3212" t="n">
        <v>0</v>
      </c>
      <c r="J3212" t="n">
        <v>0</v>
      </c>
      <c r="K3212" t="n">
        <v>0</v>
      </c>
      <c r="L3212" t="n">
        <v>0</v>
      </c>
      <c r="M3212" t="n">
        <v>0</v>
      </c>
      <c r="N3212" t="n">
        <v>0</v>
      </c>
      <c r="O3212" t="n">
        <v>0</v>
      </c>
      <c r="P3212" t="n">
        <v>0</v>
      </c>
      <c r="Q3212" t="n">
        <v>0</v>
      </c>
      <c r="R3212" s="2" t="inlineStr"/>
    </row>
    <row r="3213" ht="15" customHeight="1">
      <c r="A3213" t="inlineStr">
        <is>
          <t>A 18348-2022</t>
        </is>
      </c>
      <c r="B3213" s="1" t="n">
        <v>44685.67729166667</v>
      </c>
      <c r="C3213" s="1" t="n">
        <v>45962</v>
      </c>
      <c r="D3213" t="inlineStr">
        <is>
          <t>SKÅNE LÄN</t>
        </is>
      </c>
      <c r="E3213" t="inlineStr">
        <is>
          <t>HÖÖR</t>
        </is>
      </c>
      <c r="F3213" t="inlineStr">
        <is>
          <t>Sveaskog</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30344-2022</t>
        </is>
      </c>
      <c r="B3214" s="1" t="n">
        <v>44760.50783564815</v>
      </c>
      <c r="C3214" s="1" t="n">
        <v>45962</v>
      </c>
      <c r="D3214" t="inlineStr">
        <is>
          <t>SKÅNE LÄN</t>
        </is>
      </c>
      <c r="E3214" t="inlineStr">
        <is>
          <t>HÄSSLEHOLM</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26517-2025</t>
        </is>
      </c>
      <c r="B3215" s="1" t="n">
        <v>45807.55731481482</v>
      </c>
      <c r="C3215" s="1" t="n">
        <v>45962</v>
      </c>
      <c r="D3215" t="inlineStr">
        <is>
          <t>SKÅNE LÄN</t>
        </is>
      </c>
      <c r="E3215" t="inlineStr">
        <is>
          <t>ÖSTRA GÖINGE</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24446-2023</t>
        </is>
      </c>
      <c r="B3216" s="1" t="n">
        <v>45082.54413194444</v>
      </c>
      <c r="C3216" s="1" t="n">
        <v>45962</v>
      </c>
      <c r="D3216" t="inlineStr">
        <is>
          <t>SKÅNE LÄN</t>
        </is>
      </c>
      <c r="E3216" t="inlineStr">
        <is>
          <t>OSBY</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13994-2025</t>
        </is>
      </c>
      <c r="B3217" s="1" t="n">
        <v>45739.73532407408</v>
      </c>
      <c r="C3217" s="1" t="n">
        <v>45962</v>
      </c>
      <c r="D3217" t="inlineStr">
        <is>
          <t>SKÅNE LÄN</t>
        </is>
      </c>
      <c r="E3217" t="inlineStr">
        <is>
          <t>KLIPPAN</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55490-2022</t>
        </is>
      </c>
      <c r="B3218" s="1" t="n">
        <v>44887.68564814814</v>
      </c>
      <c r="C3218" s="1" t="n">
        <v>45962</v>
      </c>
      <c r="D3218" t="inlineStr">
        <is>
          <t>SKÅNE LÄN</t>
        </is>
      </c>
      <c r="E3218" t="inlineStr">
        <is>
          <t>ÖSTRA GÖINGE</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39014-2023</t>
        </is>
      </c>
      <c r="B3219" s="1" t="n">
        <v>45163</v>
      </c>
      <c r="C3219" s="1" t="n">
        <v>45962</v>
      </c>
      <c r="D3219" t="inlineStr">
        <is>
          <t>SKÅNE LÄN</t>
        </is>
      </c>
      <c r="E3219" t="inlineStr">
        <is>
          <t>ÄNGELHOLM</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2621-2022</t>
        </is>
      </c>
      <c r="B3220" s="1" t="n">
        <v>44580</v>
      </c>
      <c r="C3220" s="1" t="n">
        <v>45962</v>
      </c>
      <c r="D3220" t="inlineStr">
        <is>
          <t>SKÅNE LÄN</t>
        </is>
      </c>
      <c r="E3220" t="inlineStr">
        <is>
          <t>OSBY</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18063-2023</t>
        </is>
      </c>
      <c r="B3221" s="1" t="n">
        <v>45040.62850694444</v>
      </c>
      <c r="C3221" s="1" t="n">
        <v>45962</v>
      </c>
      <c r="D3221" t="inlineStr">
        <is>
          <t>SKÅNE LÄN</t>
        </is>
      </c>
      <c r="E3221" t="inlineStr">
        <is>
          <t>HÄSSLEHOLM</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64835-2023</t>
        </is>
      </c>
      <c r="B3222" s="1" t="n">
        <v>45282</v>
      </c>
      <c r="C3222" s="1" t="n">
        <v>45962</v>
      </c>
      <c r="D3222" t="inlineStr">
        <is>
          <t>SKÅNE LÄN</t>
        </is>
      </c>
      <c r="E3222" t="inlineStr">
        <is>
          <t>KRISTIANSTAD</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8084-2022</t>
        </is>
      </c>
      <c r="B3223" s="1" t="n">
        <v>44608</v>
      </c>
      <c r="C3223" s="1" t="n">
        <v>45962</v>
      </c>
      <c r="D3223" t="inlineStr">
        <is>
          <t>SKÅNE LÄN</t>
        </is>
      </c>
      <c r="E3223" t="inlineStr">
        <is>
          <t>HÖRBY</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26506-2025</t>
        </is>
      </c>
      <c r="B3224" s="1" t="n">
        <v>45807.52334490741</v>
      </c>
      <c r="C3224" s="1" t="n">
        <v>45962</v>
      </c>
      <c r="D3224" t="inlineStr">
        <is>
          <t>SKÅNE LÄN</t>
        </is>
      </c>
      <c r="E3224" t="inlineStr">
        <is>
          <t>ÖSTRA GÖINGE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36363-2021</t>
        </is>
      </c>
      <c r="B3225" s="1" t="n">
        <v>44390</v>
      </c>
      <c r="C3225" s="1" t="n">
        <v>45962</v>
      </c>
      <c r="D3225" t="inlineStr">
        <is>
          <t>SKÅNE LÄN</t>
        </is>
      </c>
      <c r="E3225" t="inlineStr">
        <is>
          <t>SJÖBO</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22157-2024</t>
        </is>
      </c>
      <c r="B3226" s="1" t="n">
        <v>45445.85290509259</v>
      </c>
      <c r="C3226" s="1" t="n">
        <v>45962</v>
      </c>
      <c r="D3226" t="inlineStr">
        <is>
          <t>SKÅNE LÄN</t>
        </is>
      </c>
      <c r="E3226" t="inlineStr">
        <is>
          <t>HÄSSLEHOLM</t>
        </is>
      </c>
      <c r="G3226" t="n">
        <v>1</v>
      </c>
      <c r="H3226" t="n">
        <v>0</v>
      </c>
      <c r="I3226" t="n">
        <v>0</v>
      </c>
      <c r="J3226" t="n">
        <v>0</v>
      </c>
      <c r="K3226" t="n">
        <v>0</v>
      </c>
      <c r="L3226" t="n">
        <v>0</v>
      </c>
      <c r="M3226" t="n">
        <v>0</v>
      </c>
      <c r="N3226" t="n">
        <v>0</v>
      </c>
      <c r="O3226" t="n">
        <v>0</v>
      </c>
      <c r="P3226" t="n">
        <v>0</v>
      </c>
      <c r="Q3226" t="n">
        <v>0</v>
      </c>
      <c r="R3226" s="2" t="inlineStr"/>
    </row>
    <row r="3227" ht="15" customHeight="1">
      <c r="A3227" t="inlineStr">
        <is>
          <t>A 22223-2024</t>
        </is>
      </c>
      <c r="B3227" s="1" t="n">
        <v>45446.41148148148</v>
      </c>
      <c r="C3227" s="1" t="n">
        <v>45962</v>
      </c>
      <c r="D3227" t="inlineStr">
        <is>
          <t>SKÅNE LÄN</t>
        </is>
      </c>
      <c r="E3227" t="inlineStr">
        <is>
          <t>OSBY</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13316-2023</t>
        </is>
      </c>
      <c r="B3228" s="1" t="n">
        <v>45005.39013888889</v>
      </c>
      <c r="C3228" s="1" t="n">
        <v>45962</v>
      </c>
      <c r="D3228" t="inlineStr">
        <is>
          <t>SKÅNE LÄN</t>
        </is>
      </c>
      <c r="E3228" t="inlineStr">
        <is>
          <t>HÄSSLEHOLM</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13358-2023</t>
        </is>
      </c>
      <c r="B3229" s="1" t="n">
        <v>45005</v>
      </c>
      <c r="C3229" s="1" t="n">
        <v>45962</v>
      </c>
      <c r="D3229" t="inlineStr">
        <is>
          <t>SKÅNE LÄN</t>
        </is>
      </c>
      <c r="E3229" t="inlineStr">
        <is>
          <t>HÄSSLEHOLM</t>
        </is>
      </c>
      <c r="F3229" t="inlineStr">
        <is>
          <t>Övriga Aktiebolag</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24947-2023</t>
        </is>
      </c>
      <c r="B3230" s="1" t="n">
        <v>45085</v>
      </c>
      <c r="C3230" s="1" t="n">
        <v>45962</v>
      </c>
      <c r="D3230" t="inlineStr">
        <is>
          <t>SKÅNE LÄN</t>
        </is>
      </c>
      <c r="E3230" t="inlineStr">
        <is>
          <t>KRISTIANSTAD</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3245-2022</t>
        </is>
      </c>
      <c r="B3231" s="1" t="n">
        <v>44583.39136574074</v>
      </c>
      <c r="C3231" s="1" t="n">
        <v>45962</v>
      </c>
      <c r="D3231" t="inlineStr">
        <is>
          <t>SKÅNE LÄN</t>
        </is>
      </c>
      <c r="E3231" t="inlineStr">
        <is>
          <t>HÄSSLEHOLM</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2015-2023</t>
        </is>
      </c>
      <c r="B3232" s="1" t="n">
        <v>44939</v>
      </c>
      <c r="C3232" s="1" t="n">
        <v>45962</v>
      </c>
      <c r="D3232" t="inlineStr">
        <is>
          <t>SKÅNE LÄN</t>
        </is>
      </c>
      <c r="E3232" t="inlineStr">
        <is>
          <t>PERSTORP</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17616-2023</t>
        </is>
      </c>
      <c r="B3233" s="1" t="n">
        <v>45036</v>
      </c>
      <c r="C3233" s="1" t="n">
        <v>45962</v>
      </c>
      <c r="D3233" t="inlineStr">
        <is>
          <t>SKÅNE LÄN</t>
        </is>
      </c>
      <c r="E3233" t="inlineStr">
        <is>
          <t>OSBY</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17641-2023</t>
        </is>
      </c>
      <c r="B3234" s="1" t="n">
        <v>45035</v>
      </c>
      <c r="C3234" s="1" t="n">
        <v>45962</v>
      </c>
      <c r="D3234" t="inlineStr">
        <is>
          <t>SKÅNE LÄN</t>
        </is>
      </c>
      <c r="E3234" t="inlineStr">
        <is>
          <t>ÖRKELLJUNGA</t>
        </is>
      </c>
      <c r="G3234" t="n">
        <v>7.3</v>
      </c>
      <c r="H3234" t="n">
        <v>0</v>
      </c>
      <c r="I3234" t="n">
        <v>0</v>
      </c>
      <c r="J3234" t="n">
        <v>0</v>
      </c>
      <c r="K3234" t="n">
        <v>0</v>
      </c>
      <c r="L3234" t="n">
        <v>0</v>
      </c>
      <c r="M3234" t="n">
        <v>0</v>
      </c>
      <c r="N3234" t="n">
        <v>0</v>
      </c>
      <c r="O3234" t="n">
        <v>0</v>
      </c>
      <c r="P3234" t="n">
        <v>0</v>
      </c>
      <c r="Q3234" t="n">
        <v>0</v>
      </c>
      <c r="R3234" s="2" t="inlineStr"/>
    </row>
    <row r="3235" ht="15" customHeight="1">
      <c r="A3235" t="inlineStr">
        <is>
          <t>A 43828-2024</t>
        </is>
      </c>
      <c r="B3235" s="1" t="n">
        <v>45572.2912037037</v>
      </c>
      <c r="C3235" s="1" t="n">
        <v>45962</v>
      </c>
      <c r="D3235" t="inlineStr">
        <is>
          <t>SKÅNE LÄN</t>
        </is>
      </c>
      <c r="E3235" t="inlineStr">
        <is>
          <t>HÖRBY</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63561-2023</t>
        </is>
      </c>
      <c r="B3236" s="1" t="n">
        <v>45274</v>
      </c>
      <c r="C3236" s="1" t="n">
        <v>45962</v>
      </c>
      <c r="D3236" t="inlineStr">
        <is>
          <t>SKÅNE LÄN</t>
        </is>
      </c>
      <c r="E3236" t="inlineStr">
        <is>
          <t>KRISTIANSTAD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20381-2025</t>
        </is>
      </c>
      <c r="B3237" s="1" t="n">
        <v>45775.43020833333</v>
      </c>
      <c r="C3237" s="1" t="n">
        <v>45962</v>
      </c>
      <c r="D3237" t="inlineStr">
        <is>
          <t>SKÅNE LÄN</t>
        </is>
      </c>
      <c r="E3237" t="inlineStr">
        <is>
          <t>HÖÖR</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26824-2025</t>
        </is>
      </c>
      <c r="B3238" s="1" t="n">
        <v>45810.64702546296</v>
      </c>
      <c r="C3238" s="1" t="n">
        <v>45962</v>
      </c>
      <c r="D3238" t="inlineStr">
        <is>
          <t>SKÅNE LÄN</t>
        </is>
      </c>
      <c r="E3238" t="inlineStr">
        <is>
          <t>ÖSTRA GÖINGE</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49726-2023</t>
        </is>
      </c>
      <c r="B3239" s="1" t="n">
        <v>45208</v>
      </c>
      <c r="C3239" s="1" t="n">
        <v>45962</v>
      </c>
      <c r="D3239" t="inlineStr">
        <is>
          <t>SKÅNE LÄN</t>
        </is>
      </c>
      <c r="E3239" t="inlineStr">
        <is>
          <t>HÖRBY</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13954-2025</t>
        </is>
      </c>
      <c r="B3240" s="1" t="n">
        <v>45737</v>
      </c>
      <c r="C3240" s="1" t="n">
        <v>45962</v>
      </c>
      <c r="D3240" t="inlineStr">
        <is>
          <t>SKÅNE LÄN</t>
        </is>
      </c>
      <c r="E3240" t="inlineStr">
        <is>
          <t>KRISTIANSTAD</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13995-2025</t>
        </is>
      </c>
      <c r="B3241" s="1" t="n">
        <v>45739.74271990741</v>
      </c>
      <c r="C3241" s="1" t="n">
        <v>45962</v>
      </c>
      <c r="D3241" t="inlineStr">
        <is>
          <t>SKÅNE LÄN</t>
        </is>
      </c>
      <c r="E3241" t="inlineStr">
        <is>
          <t>KLIPPAN</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14103-2024</t>
        </is>
      </c>
      <c r="B3242" s="1" t="n">
        <v>45392</v>
      </c>
      <c r="C3242" s="1" t="n">
        <v>45962</v>
      </c>
      <c r="D3242" t="inlineStr">
        <is>
          <t>SKÅNE LÄN</t>
        </is>
      </c>
      <c r="E3242" t="inlineStr">
        <is>
          <t>SIMRISHAMN</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27030-2025</t>
        </is>
      </c>
      <c r="B3243" s="1" t="n">
        <v>45811.58686342592</v>
      </c>
      <c r="C3243" s="1" t="n">
        <v>45962</v>
      </c>
      <c r="D3243" t="inlineStr">
        <is>
          <t>SKÅNE LÄN</t>
        </is>
      </c>
      <c r="E3243" t="inlineStr">
        <is>
          <t>KRISTIANSTAD</t>
        </is>
      </c>
      <c r="G3243" t="n">
        <v>2.7</v>
      </c>
      <c r="H3243" t="n">
        <v>0</v>
      </c>
      <c r="I3243" t="n">
        <v>0</v>
      </c>
      <c r="J3243" t="n">
        <v>0</v>
      </c>
      <c r="K3243" t="n">
        <v>0</v>
      </c>
      <c r="L3243" t="n">
        <v>0</v>
      </c>
      <c r="M3243" t="n">
        <v>0</v>
      </c>
      <c r="N3243" t="n">
        <v>0</v>
      </c>
      <c r="O3243" t="n">
        <v>0</v>
      </c>
      <c r="P3243" t="n">
        <v>0</v>
      </c>
      <c r="Q3243" t="n">
        <v>0</v>
      </c>
      <c r="R3243" s="2" t="inlineStr"/>
    </row>
    <row r="3244" ht="15" customHeight="1">
      <c r="A3244" t="inlineStr">
        <is>
          <t>A 12996-2021</t>
        </is>
      </c>
      <c r="B3244" s="1" t="n">
        <v>44271.64799768518</v>
      </c>
      <c r="C3244" s="1" t="n">
        <v>45962</v>
      </c>
      <c r="D3244" t="inlineStr">
        <is>
          <t>SKÅNE LÄN</t>
        </is>
      </c>
      <c r="E3244" t="inlineStr">
        <is>
          <t>OSBY</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61520-2022</t>
        </is>
      </c>
      <c r="B3245" s="1" t="n">
        <v>44910</v>
      </c>
      <c r="C3245" s="1" t="n">
        <v>45962</v>
      </c>
      <c r="D3245" t="inlineStr">
        <is>
          <t>SKÅNE LÄN</t>
        </is>
      </c>
      <c r="E3245" t="inlineStr">
        <is>
          <t>OSBY</t>
        </is>
      </c>
      <c r="F3245" t="inlineStr">
        <is>
          <t>Kyrkan</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61524-2022</t>
        </is>
      </c>
      <c r="B3246" s="1" t="n">
        <v>44910</v>
      </c>
      <c r="C3246" s="1" t="n">
        <v>45962</v>
      </c>
      <c r="D3246" t="inlineStr">
        <is>
          <t>SKÅNE LÄN</t>
        </is>
      </c>
      <c r="E3246" t="inlineStr">
        <is>
          <t>HÄSSLEHOLM</t>
        </is>
      </c>
      <c r="F3246" t="inlineStr">
        <is>
          <t>Kyrkan</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63082-2020</t>
        </is>
      </c>
      <c r="B3247" s="1" t="n">
        <v>44162</v>
      </c>
      <c r="C3247" s="1" t="n">
        <v>45962</v>
      </c>
      <c r="D3247" t="inlineStr">
        <is>
          <t>SKÅNE LÄN</t>
        </is>
      </c>
      <c r="E3247" t="inlineStr">
        <is>
          <t>KLIPPAN</t>
        </is>
      </c>
      <c r="G3247" t="n">
        <v>2.2</v>
      </c>
      <c r="H3247" t="n">
        <v>0</v>
      </c>
      <c r="I3247" t="n">
        <v>0</v>
      </c>
      <c r="J3247" t="n">
        <v>0</v>
      </c>
      <c r="K3247" t="n">
        <v>0</v>
      </c>
      <c r="L3247" t="n">
        <v>0</v>
      </c>
      <c r="M3247" t="n">
        <v>0</v>
      </c>
      <c r="N3247" t="n">
        <v>0</v>
      </c>
      <c r="O3247" t="n">
        <v>0</v>
      </c>
      <c r="P3247" t="n">
        <v>0</v>
      </c>
      <c r="Q3247" t="n">
        <v>0</v>
      </c>
      <c r="R3247" s="2" t="inlineStr"/>
    </row>
    <row r="3248" ht="15" customHeight="1">
      <c r="A3248" t="inlineStr">
        <is>
          <t>A 61550-2023</t>
        </is>
      </c>
      <c r="B3248" s="1" t="n">
        <v>45265</v>
      </c>
      <c r="C3248" s="1" t="n">
        <v>45962</v>
      </c>
      <c r="D3248" t="inlineStr">
        <is>
          <t>SKÅNE LÄN</t>
        </is>
      </c>
      <c r="E3248" t="inlineStr">
        <is>
          <t>KRISTIANSTAD</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61578-2023</t>
        </is>
      </c>
      <c r="B3249" s="1" t="n">
        <v>45265.47399305556</v>
      </c>
      <c r="C3249" s="1" t="n">
        <v>45962</v>
      </c>
      <c r="D3249" t="inlineStr">
        <is>
          <t>SKÅNE LÄN</t>
        </is>
      </c>
      <c r="E3249" t="inlineStr">
        <is>
          <t>HÄSSLEHOLM</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6440-2024</t>
        </is>
      </c>
      <c r="B3250" s="1" t="n">
        <v>45338.65138888889</v>
      </c>
      <c r="C3250" s="1" t="n">
        <v>45962</v>
      </c>
      <c r="D3250" t="inlineStr">
        <is>
          <t>SKÅNE LÄN</t>
        </is>
      </c>
      <c r="E3250" t="inlineStr">
        <is>
          <t>HÖÖR</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49824-2024</t>
        </is>
      </c>
      <c r="B3251" s="1" t="n">
        <v>45597</v>
      </c>
      <c r="C3251" s="1" t="n">
        <v>45962</v>
      </c>
      <c r="D3251" t="inlineStr">
        <is>
          <t>SKÅNE LÄN</t>
        </is>
      </c>
      <c r="E3251" t="inlineStr">
        <is>
          <t>HÄSSLEHOLM</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1366-2021</t>
        </is>
      </c>
      <c r="B3252" s="1" t="n">
        <v>44208</v>
      </c>
      <c r="C3252" s="1" t="n">
        <v>45962</v>
      </c>
      <c r="D3252" t="inlineStr">
        <is>
          <t>SKÅNE LÄN</t>
        </is>
      </c>
      <c r="E3252" t="inlineStr">
        <is>
          <t>YSTAD</t>
        </is>
      </c>
      <c r="G3252" t="n">
        <v>1.1</v>
      </c>
      <c r="H3252" t="n">
        <v>0</v>
      </c>
      <c r="I3252" t="n">
        <v>0</v>
      </c>
      <c r="J3252" t="n">
        <v>0</v>
      </c>
      <c r="K3252" t="n">
        <v>0</v>
      </c>
      <c r="L3252" t="n">
        <v>0</v>
      </c>
      <c r="M3252" t="n">
        <v>0</v>
      </c>
      <c r="N3252" t="n">
        <v>0</v>
      </c>
      <c r="O3252" t="n">
        <v>0</v>
      </c>
      <c r="P3252" t="n">
        <v>0</v>
      </c>
      <c r="Q3252" t="n">
        <v>0</v>
      </c>
      <c r="R3252" s="2" t="inlineStr"/>
    </row>
    <row r="3253" ht="15" customHeight="1">
      <c r="A3253" t="inlineStr">
        <is>
          <t>A 31143-2024</t>
        </is>
      </c>
      <c r="B3253" s="1" t="n">
        <v>45502</v>
      </c>
      <c r="C3253" s="1" t="n">
        <v>45962</v>
      </c>
      <c r="D3253" t="inlineStr">
        <is>
          <t>SKÅNE LÄN</t>
        </is>
      </c>
      <c r="E3253" t="inlineStr">
        <is>
          <t>ÄNGELHOLM</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36840-2024</t>
        </is>
      </c>
      <c r="B3254" s="1" t="n">
        <v>45538</v>
      </c>
      <c r="C3254" s="1" t="n">
        <v>45962</v>
      </c>
      <c r="D3254" t="inlineStr">
        <is>
          <t>SKÅNE LÄN</t>
        </is>
      </c>
      <c r="E3254" t="inlineStr">
        <is>
          <t>HÖRBY</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38228-2021</t>
        </is>
      </c>
      <c r="B3255" s="1" t="n">
        <v>44405</v>
      </c>
      <c r="C3255" s="1" t="n">
        <v>45962</v>
      </c>
      <c r="D3255" t="inlineStr">
        <is>
          <t>SKÅNE LÄN</t>
        </is>
      </c>
      <c r="E3255" t="inlineStr">
        <is>
          <t>HÄSSLEHOLM</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25542-2024</t>
        </is>
      </c>
      <c r="B3256" s="1" t="n">
        <v>45463</v>
      </c>
      <c r="C3256" s="1" t="n">
        <v>45962</v>
      </c>
      <c r="D3256" t="inlineStr">
        <is>
          <t>SKÅNE LÄN</t>
        </is>
      </c>
      <c r="E3256" t="inlineStr">
        <is>
          <t>HÄSSLEHOLM</t>
        </is>
      </c>
      <c r="G3256" t="n">
        <v>6.9</v>
      </c>
      <c r="H3256" t="n">
        <v>0</v>
      </c>
      <c r="I3256" t="n">
        <v>0</v>
      </c>
      <c r="J3256" t="n">
        <v>0</v>
      </c>
      <c r="K3256" t="n">
        <v>0</v>
      </c>
      <c r="L3256" t="n">
        <v>0</v>
      </c>
      <c r="M3256" t="n">
        <v>0</v>
      </c>
      <c r="N3256" t="n">
        <v>0</v>
      </c>
      <c r="O3256" t="n">
        <v>0</v>
      </c>
      <c r="P3256" t="n">
        <v>0</v>
      </c>
      <c r="Q3256" t="n">
        <v>0</v>
      </c>
      <c r="R3256" s="2" t="inlineStr"/>
    </row>
    <row r="3257" ht="15" customHeight="1">
      <c r="A3257" t="inlineStr">
        <is>
          <t>A 44112-2023</t>
        </is>
      </c>
      <c r="B3257" s="1" t="n">
        <v>45188.4418287037</v>
      </c>
      <c r="C3257" s="1" t="n">
        <v>45962</v>
      </c>
      <c r="D3257" t="inlineStr">
        <is>
          <t>SKÅNE LÄN</t>
        </is>
      </c>
      <c r="E3257" t="inlineStr">
        <is>
          <t>SVALÖV</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52315-2024</t>
        </is>
      </c>
      <c r="B3258" s="1" t="n">
        <v>45608</v>
      </c>
      <c r="C3258" s="1" t="n">
        <v>45962</v>
      </c>
      <c r="D3258" t="inlineStr">
        <is>
          <t>SKÅNE LÄN</t>
        </is>
      </c>
      <c r="E3258" t="inlineStr">
        <is>
          <t>PERSTORP</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39567-2022</t>
        </is>
      </c>
      <c r="B3259" s="1" t="n">
        <v>44817</v>
      </c>
      <c r="C3259" s="1" t="n">
        <v>45962</v>
      </c>
      <c r="D3259" t="inlineStr">
        <is>
          <t>SKÅNE LÄN</t>
        </is>
      </c>
      <c r="E3259" t="inlineStr">
        <is>
          <t>KRISTIANSTAD</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26804-2025</t>
        </is>
      </c>
      <c r="B3260" s="1" t="n">
        <v>45810.60901620371</v>
      </c>
      <c r="C3260" s="1" t="n">
        <v>45962</v>
      </c>
      <c r="D3260" t="inlineStr">
        <is>
          <t>SKÅNE LÄN</t>
        </is>
      </c>
      <c r="E3260" t="inlineStr">
        <is>
          <t>KRISTIANSTAD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42370-2023</t>
        </is>
      </c>
      <c r="B3261" s="1" t="n">
        <v>45180</v>
      </c>
      <c r="C3261" s="1" t="n">
        <v>45962</v>
      </c>
      <c r="D3261" t="inlineStr">
        <is>
          <t>SKÅNE LÄN</t>
        </is>
      </c>
      <c r="E3261" t="inlineStr">
        <is>
          <t>HÄSSLEHOLM</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31908-2023</t>
        </is>
      </c>
      <c r="B3262" s="1" t="n">
        <v>45118</v>
      </c>
      <c r="C3262" s="1" t="n">
        <v>45962</v>
      </c>
      <c r="D3262" t="inlineStr">
        <is>
          <t>SKÅNE LÄN</t>
        </is>
      </c>
      <c r="E3262" t="inlineStr">
        <is>
          <t>ÄNGELHOLM</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8375-2025</t>
        </is>
      </c>
      <c r="B3263" s="1" t="n">
        <v>45709.33300925926</v>
      </c>
      <c r="C3263" s="1" t="n">
        <v>45962</v>
      </c>
      <c r="D3263" t="inlineStr">
        <is>
          <t>SKÅNE LÄN</t>
        </is>
      </c>
      <c r="E3263" t="inlineStr">
        <is>
          <t>OSBY</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3904-2022</t>
        </is>
      </c>
      <c r="B3264" s="1" t="n">
        <v>44587</v>
      </c>
      <c r="C3264" s="1" t="n">
        <v>45962</v>
      </c>
      <c r="D3264" t="inlineStr">
        <is>
          <t>SKÅNE LÄN</t>
        </is>
      </c>
      <c r="E3264" t="inlineStr">
        <is>
          <t>KRISTIANSTAD</t>
        </is>
      </c>
      <c r="F3264" t="inlineStr">
        <is>
          <t>Sveaskog</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3248-2022</t>
        </is>
      </c>
      <c r="B3265" s="1" t="n">
        <v>44583</v>
      </c>
      <c r="C3265" s="1" t="n">
        <v>45962</v>
      </c>
      <c r="D3265" t="inlineStr">
        <is>
          <t>SKÅNE LÄN</t>
        </is>
      </c>
      <c r="E3265" t="inlineStr">
        <is>
          <t>HÄSSLEHOLM</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36421-2022</t>
        </is>
      </c>
      <c r="B3266" s="1" t="n">
        <v>44804</v>
      </c>
      <c r="C3266" s="1" t="n">
        <v>45962</v>
      </c>
      <c r="D3266" t="inlineStr">
        <is>
          <t>SKÅNE LÄN</t>
        </is>
      </c>
      <c r="E3266" t="inlineStr">
        <is>
          <t>BROMÖLLA</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26949-2025</t>
        </is>
      </c>
      <c r="B3267" s="1" t="n">
        <v>45811.43701388889</v>
      </c>
      <c r="C3267" s="1" t="n">
        <v>45962</v>
      </c>
      <c r="D3267" t="inlineStr">
        <is>
          <t>SKÅNE LÄN</t>
        </is>
      </c>
      <c r="E3267" t="inlineStr">
        <is>
          <t>SVALÖV</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35777-2022</t>
        </is>
      </c>
      <c r="B3268" s="1" t="n">
        <v>44801</v>
      </c>
      <c r="C3268" s="1" t="n">
        <v>45962</v>
      </c>
      <c r="D3268" t="inlineStr">
        <is>
          <t>SKÅNE LÄN</t>
        </is>
      </c>
      <c r="E3268" t="inlineStr">
        <is>
          <t>OSBY</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24724-2024</t>
        </is>
      </c>
      <c r="B3269" s="1" t="n">
        <v>45460.64310185185</v>
      </c>
      <c r="C3269" s="1" t="n">
        <v>45962</v>
      </c>
      <c r="D3269" t="inlineStr">
        <is>
          <t>SKÅNE LÄN</t>
        </is>
      </c>
      <c r="E3269" t="inlineStr">
        <is>
          <t>HÖRBY</t>
        </is>
      </c>
      <c r="G3269" t="n">
        <v>1.4</v>
      </c>
      <c r="H3269" t="n">
        <v>0</v>
      </c>
      <c r="I3269" t="n">
        <v>0</v>
      </c>
      <c r="J3269" t="n">
        <v>0</v>
      </c>
      <c r="K3269" t="n">
        <v>0</v>
      </c>
      <c r="L3269" t="n">
        <v>0</v>
      </c>
      <c r="M3269" t="n">
        <v>0</v>
      </c>
      <c r="N3269" t="n">
        <v>0</v>
      </c>
      <c r="O3269" t="n">
        <v>0</v>
      </c>
      <c r="P3269" t="n">
        <v>0</v>
      </c>
      <c r="Q3269" t="n">
        <v>0</v>
      </c>
      <c r="R3269" s="2" t="inlineStr"/>
    </row>
    <row r="3270" ht="15" customHeight="1">
      <c r="A3270" t="inlineStr">
        <is>
          <t>A 60501-2023</t>
        </is>
      </c>
      <c r="B3270" s="1" t="n">
        <v>45259</v>
      </c>
      <c r="C3270" s="1" t="n">
        <v>45962</v>
      </c>
      <c r="D3270" t="inlineStr">
        <is>
          <t>SKÅNE LÄN</t>
        </is>
      </c>
      <c r="E3270" t="inlineStr">
        <is>
          <t>PERSTORP</t>
        </is>
      </c>
      <c r="F3270" t="inlineStr">
        <is>
          <t>Övriga Aktiebolag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25788-2021</t>
        </is>
      </c>
      <c r="B3271" s="1" t="n">
        <v>44343</v>
      </c>
      <c r="C3271" s="1" t="n">
        <v>45962</v>
      </c>
      <c r="D3271" t="inlineStr">
        <is>
          <t>SKÅNE LÄN</t>
        </is>
      </c>
      <c r="E3271" t="inlineStr">
        <is>
          <t>HÄSSLEHOLM</t>
        </is>
      </c>
      <c r="G3271" t="n">
        <v>4.8</v>
      </c>
      <c r="H3271" t="n">
        <v>0</v>
      </c>
      <c r="I3271" t="n">
        <v>0</v>
      </c>
      <c r="J3271" t="n">
        <v>0</v>
      </c>
      <c r="K3271" t="n">
        <v>0</v>
      </c>
      <c r="L3271" t="n">
        <v>0</v>
      </c>
      <c r="M3271" t="n">
        <v>0</v>
      </c>
      <c r="N3271" t="n">
        <v>0</v>
      </c>
      <c r="O3271" t="n">
        <v>0</v>
      </c>
      <c r="P3271" t="n">
        <v>0</v>
      </c>
      <c r="Q3271" t="n">
        <v>0</v>
      </c>
      <c r="R3271" s="2" t="inlineStr"/>
    </row>
    <row r="3272" ht="15" customHeight="1">
      <c r="A3272" t="inlineStr">
        <is>
          <t>A 43877-2022</t>
        </is>
      </c>
      <c r="B3272" s="1" t="n">
        <v>44838</v>
      </c>
      <c r="C3272" s="1" t="n">
        <v>45962</v>
      </c>
      <c r="D3272" t="inlineStr">
        <is>
          <t>SKÅNE LÄN</t>
        </is>
      </c>
      <c r="E3272" t="inlineStr">
        <is>
          <t>HÖÖR</t>
        </is>
      </c>
      <c r="G3272" t="n">
        <v>0.3</v>
      </c>
      <c r="H3272" t="n">
        <v>0</v>
      </c>
      <c r="I3272" t="n">
        <v>0</v>
      </c>
      <c r="J3272" t="n">
        <v>0</v>
      </c>
      <c r="K3272" t="n">
        <v>0</v>
      </c>
      <c r="L3272" t="n">
        <v>0</v>
      </c>
      <c r="M3272" t="n">
        <v>0</v>
      </c>
      <c r="N3272" t="n">
        <v>0</v>
      </c>
      <c r="O3272" t="n">
        <v>0</v>
      </c>
      <c r="P3272" t="n">
        <v>0</v>
      </c>
      <c r="Q3272" t="n">
        <v>0</v>
      </c>
      <c r="R3272" s="2" t="inlineStr"/>
    </row>
    <row r="3273" ht="15" customHeight="1">
      <c r="A3273" t="inlineStr">
        <is>
          <t>A 43897-2022</t>
        </is>
      </c>
      <c r="B3273" s="1" t="n">
        <v>44838</v>
      </c>
      <c r="C3273" s="1" t="n">
        <v>45962</v>
      </c>
      <c r="D3273" t="inlineStr">
        <is>
          <t>SKÅNE LÄN</t>
        </is>
      </c>
      <c r="E3273" t="inlineStr">
        <is>
          <t>HÖÖR</t>
        </is>
      </c>
      <c r="G3273" t="n">
        <v>4.9</v>
      </c>
      <c r="H3273" t="n">
        <v>0</v>
      </c>
      <c r="I3273" t="n">
        <v>0</v>
      </c>
      <c r="J3273" t="n">
        <v>0</v>
      </c>
      <c r="K3273" t="n">
        <v>0</v>
      </c>
      <c r="L3273" t="n">
        <v>0</v>
      </c>
      <c r="M3273" t="n">
        <v>0</v>
      </c>
      <c r="N3273" t="n">
        <v>0</v>
      </c>
      <c r="O3273" t="n">
        <v>0</v>
      </c>
      <c r="P3273" t="n">
        <v>0</v>
      </c>
      <c r="Q3273" t="n">
        <v>0</v>
      </c>
      <c r="R3273" s="2" t="inlineStr"/>
    </row>
    <row r="3274" ht="15" customHeight="1">
      <c r="A3274" t="inlineStr">
        <is>
          <t>A 22074-2023</t>
        </is>
      </c>
      <c r="B3274" s="1" t="n">
        <v>45069.46530092593</v>
      </c>
      <c r="C3274" s="1" t="n">
        <v>45962</v>
      </c>
      <c r="D3274" t="inlineStr">
        <is>
          <t>SKÅNE LÄN</t>
        </is>
      </c>
      <c r="E3274" t="inlineStr">
        <is>
          <t>KRISTIANSTAD</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13225-2024</t>
        </is>
      </c>
      <c r="B3275" s="1" t="n">
        <v>45386</v>
      </c>
      <c r="C3275" s="1" t="n">
        <v>45962</v>
      </c>
      <c r="D3275" t="inlineStr">
        <is>
          <t>SKÅNE LÄN</t>
        </is>
      </c>
      <c r="E3275" t="inlineStr">
        <is>
          <t>HÖRBY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13226-2024</t>
        </is>
      </c>
      <c r="B3276" s="1" t="n">
        <v>45386</v>
      </c>
      <c r="C3276" s="1" t="n">
        <v>45962</v>
      </c>
      <c r="D3276" t="inlineStr">
        <is>
          <t>SKÅNE LÄN</t>
        </is>
      </c>
      <c r="E3276" t="inlineStr">
        <is>
          <t>HÖRBY</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25538-2024</t>
        </is>
      </c>
      <c r="B3277" s="1" t="n">
        <v>45463</v>
      </c>
      <c r="C3277" s="1" t="n">
        <v>45962</v>
      </c>
      <c r="D3277" t="inlineStr">
        <is>
          <t>SKÅNE LÄN</t>
        </is>
      </c>
      <c r="E3277" t="inlineStr">
        <is>
          <t>HÄSSLEHOLM</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25579-2024</t>
        </is>
      </c>
      <c r="B3278" s="1" t="n">
        <v>45463</v>
      </c>
      <c r="C3278" s="1" t="n">
        <v>45962</v>
      </c>
      <c r="D3278" t="inlineStr">
        <is>
          <t>SKÅNE LÄN</t>
        </is>
      </c>
      <c r="E3278" t="inlineStr">
        <is>
          <t>OSBY</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47552-2023</t>
        </is>
      </c>
      <c r="B3279" s="1" t="n">
        <v>45203.38798611111</v>
      </c>
      <c r="C3279" s="1" t="n">
        <v>45962</v>
      </c>
      <c r="D3279" t="inlineStr">
        <is>
          <t>SKÅNE LÄN</t>
        </is>
      </c>
      <c r="E3279" t="inlineStr">
        <is>
          <t>HÖRBY</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48693-2024</t>
        </is>
      </c>
      <c r="B3280" s="1" t="n">
        <v>45593</v>
      </c>
      <c r="C3280" s="1" t="n">
        <v>45962</v>
      </c>
      <c r="D3280" t="inlineStr">
        <is>
          <t>SKÅNE LÄN</t>
        </is>
      </c>
      <c r="E3280" t="inlineStr">
        <is>
          <t>KRISTIANSTAD</t>
        </is>
      </c>
      <c r="G3280" t="n">
        <v>2.2</v>
      </c>
      <c r="H3280" t="n">
        <v>0</v>
      </c>
      <c r="I3280" t="n">
        <v>0</v>
      </c>
      <c r="J3280" t="n">
        <v>0</v>
      </c>
      <c r="K3280" t="n">
        <v>0</v>
      </c>
      <c r="L3280" t="n">
        <v>0</v>
      </c>
      <c r="M3280" t="n">
        <v>0</v>
      </c>
      <c r="N3280" t="n">
        <v>0</v>
      </c>
      <c r="O3280" t="n">
        <v>0</v>
      </c>
      <c r="P3280" t="n">
        <v>0</v>
      </c>
      <c r="Q3280" t="n">
        <v>0</v>
      </c>
      <c r="R3280" s="2" t="inlineStr"/>
    </row>
    <row r="3281" ht="15" customHeight="1">
      <c r="A3281" t="inlineStr">
        <is>
          <t>A 19454-2024</t>
        </is>
      </c>
      <c r="B3281" s="1" t="n">
        <v>45429</v>
      </c>
      <c r="C3281" s="1" t="n">
        <v>45962</v>
      </c>
      <c r="D3281" t="inlineStr">
        <is>
          <t>SKÅNE LÄN</t>
        </is>
      </c>
      <c r="E3281" t="inlineStr">
        <is>
          <t>TOMELILLA</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12413-2025</t>
        </is>
      </c>
      <c r="B3282" s="1" t="n">
        <v>45730.43767361111</v>
      </c>
      <c r="C3282" s="1" t="n">
        <v>45962</v>
      </c>
      <c r="D3282" t="inlineStr">
        <is>
          <t>SKÅNE LÄN</t>
        </is>
      </c>
      <c r="E3282" t="inlineStr">
        <is>
          <t>OSBY</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56166-2023</t>
        </is>
      </c>
      <c r="B3283" s="1" t="n">
        <v>45240.62390046296</v>
      </c>
      <c r="C3283" s="1" t="n">
        <v>45962</v>
      </c>
      <c r="D3283" t="inlineStr">
        <is>
          <t>SKÅNE LÄN</t>
        </is>
      </c>
      <c r="E3283" t="inlineStr">
        <is>
          <t>OSBY</t>
        </is>
      </c>
      <c r="G3283" t="n">
        <v>3</v>
      </c>
      <c r="H3283" t="n">
        <v>0</v>
      </c>
      <c r="I3283" t="n">
        <v>0</v>
      </c>
      <c r="J3283" t="n">
        <v>0</v>
      </c>
      <c r="K3283" t="n">
        <v>0</v>
      </c>
      <c r="L3283" t="n">
        <v>0</v>
      </c>
      <c r="M3283" t="n">
        <v>0</v>
      </c>
      <c r="N3283" t="n">
        <v>0</v>
      </c>
      <c r="O3283" t="n">
        <v>0</v>
      </c>
      <c r="P3283" t="n">
        <v>0</v>
      </c>
      <c r="Q3283" t="n">
        <v>0</v>
      </c>
      <c r="R3283" s="2" t="inlineStr"/>
    </row>
    <row r="3284" ht="15" customHeight="1">
      <c r="A3284" t="inlineStr">
        <is>
          <t>A 5027-2024</t>
        </is>
      </c>
      <c r="B3284" s="1" t="n">
        <v>45329</v>
      </c>
      <c r="C3284" s="1" t="n">
        <v>45962</v>
      </c>
      <c r="D3284" t="inlineStr">
        <is>
          <t>SKÅNE LÄN</t>
        </is>
      </c>
      <c r="E3284" t="inlineStr">
        <is>
          <t>TOMELILLA</t>
        </is>
      </c>
      <c r="F3284" t="inlineStr">
        <is>
          <t>Övriga Aktiebolag</t>
        </is>
      </c>
      <c r="G3284" t="n">
        <v>4.7</v>
      </c>
      <c r="H3284" t="n">
        <v>0</v>
      </c>
      <c r="I3284" t="n">
        <v>0</v>
      </c>
      <c r="J3284" t="n">
        <v>0</v>
      </c>
      <c r="K3284" t="n">
        <v>0</v>
      </c>
      <c r="L3284" t="n">
        <v>0</v>
      </c>
      <c r="M3284" t="n">
        <v>0</v>
      </c>
      <c r="N3284" t="n">
        <v>0</v>
      </c>
      <c r="O3284" t="n">
        <v>0</v>
      </c>
      <c r="P3284" t="n">
        <v>0</v>
      </c>
      <c r="Q3284" t="n">
        <v>0</v>
      </c>
      <c r="R3284" s="2" t="inlineStr"/>
    </row>
    <row r="3285" ht="15" customHeight="1">
      <c r="A3285" t="inlineStr">
        <is>
          <t>A 20057-2025</t>
        </is>
      </c>
      <c r="B3285" s="1" t="n">
        <v>45772</v>
      </c>
      <c r="C3285" s="1" t="n">
        <v>45962</v>
      </c>
      <c r="D3285" t="inlineStr">
        <is>
          <t>SKÅNE LÄN</t>
        </is>
      </c>
      <c r="E3285" t="inlineStr">
        <is>
          <t>LUND</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39407-2023</t>
        </is>
      </c>
      <c r="B3286" s="1" t="n">
        <v>45163</v>
      </c>
      <c r="C3286" s="1" t="n">
        <v>45962</v>
      </c>
      <c r="D3286" t="inlineStr">
        <is>
          <t>SKÅNE LÄN</t>
        </is>
      </c>
      <c r="E3286" t="inlineStr">
        <is>
          <t>SJÖBO</t>
        </is>
      </c>
      <c r="G3286" t="n">
        <v>9.300000000000001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59709-2023</t>
        </is>
      </c>
      <c r="B3287" s="1" t="n">
        <v>45256.94847222222</v>
      </c>
      <c r="C3287" s="1" t="n">
        <v>45962</v>
      </c>
      <c r="D3287" t="inlineStr">
        <is>
          <t>SKÅNE LÄN</t>
        </is>
      </c>
      <c r="E3287" t="inlineStr">
        <is>
          <t>ÖSTRA GÖINGE</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11422-2025</t>
        </is>
      </c>
      <c r="B3288" s="1" t="n">
        <v>45726</v>
      </c>
      <c r="C3288" s="1" t="n">
        <v>45962</v>
      </c>
      <c r="D3288" t="inlineStr">
        <is>
          <t>SKÅNE LÄN</t>
        </is>
      </c>
      <c r="E3288" t="inlineStr">
        <is>
          <t>HÄSSLEHOLM</t>
        </is>
      </c>
      <c r="G3288" t="n">
        <v>14.9</v>
      </c>
      <c r="H3288" t="n">
        <v>0</v>
      </c>
      <c r="I3288" t="n">
        <v>0</v>
      </c>
      <c r="J3288" t="n">
        <v>0</v>
      </c>
      <c r="K3288" t="n">
        <v>0</v>
      </c>
      <c r="L3288" t="n">
        <v>0</v>
      </c>
      <c r="M3288" t="n">
        <v>0</v>
      </c>
      <c r="N3288" t="n">
        <v>0</v>
      </c>
      <c r="O3288" t="n">
        <v>0</v>
      </c>
      <c r="P3288" t="n">
        <v>0</v>
      </c>
      <c r="Q3288" t="n">
        <v>0</v>
      </c>
      <c r="R3288" s="2" t="inlineStr"/>
    </row>
    <row r="3289" ht="15" customHeight="1">
      <c r="A3289" t="inlineStr">
        <is>
          <t>A 31502-2023</t>
        </is>
      </c>
      <c r="B3289" s="1" t="n">
        <v>45115</v>
      </c>
      <c r="C3289" s="1" t="n">
        <v>45962</v>
      </c>
      <c r="D3289" t="inlineStr">
        <is>
          <t>SKÅNE LÄN</t>
        </is>
      </c>
      <c r="E3289" t="inlineStr">
        <is>
          <t>ÄNGELHOLM</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42275-2024</t>
        </is>
      </c>
      <c r="B3290" s="1" t="n">
        <v>45562.60690972222</v>
      </c>
      <c r="C3290" s="1" t="n">
        <v>45962</v>
      </c>
      <c r="D3290" t="inlineStr">
        <is>
          <t>SKÅNE LÄN</t>
        </is>
      </c>
      <c r="E3290" t="inlineStr">
        <is>
          <t>KLIPPAN</t>
        </is>
      </c>
      <c r="F3290" t="inlineStr">
        <is>
          <t>Sveaskog</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42303-2024</t>
        </is>
      </c>
      <c r="B3291" s="1" t="n">
        <v>45562.6322337963</v>
      </c>
      <c r="C3291" s="1" t="n">
        <v>45962</v>
      </c>
      <c r="D3291" t="inlineStr">
        <is>
          <t>SKÅNE LÄN</t>
        </is>
      </c>
      <c r="E3291" t="inlineStr">
        <is>
          <t>KLIPPAN</t>
        </is>
      </c>
      <c r="F3291" t="inlineStr">
        <is>
          <t>Sveaskog</t>
        </is>
      </c>
      <c r="G3291" t="n">
        <v>3.2</v>
      </c>
      <c r="H3291" t="n">
        <v>0</v>
      </c>
      <c r="I3291" t="n">
        <v>0</v>
      </c>
      <c r="J3291" t="n">
        <v>0</v>
      </c>
      <c r="K3291" t="n">
        <v>0</v>
      </c>
      <c r="L3291" t="n">
        <v>0</v>
      </c>
      <c r="M3291" t="n">
        <v>0</v>
      </c>
      <c r="N3291" t="n">
        <v>0</v>
      </c>
      <c r="O3291" t="n">
        <v>0</v>
      </c>
      <c r="P3291" t="n">
        <v>0</v>
      </c>
      <c r="Q3291" t="n">
        <v>0</v>
      </c>
      <c r="R3291" s="2" t="inlineStr"/>
    </row>
    <row r="3292" ht="15" customHeight="1">
      <c r="A3292" t="inlineStr">
        <is>
          <t>A 36713-2023</t>
        </is>
      </c>
      <c r="B3292" s="1" t="n">
        <v>45153</v>
      </c>
      <c r="C3292" s="1" t="n">
        <v>45962</v>
      </c>
      <c r="D3292" t="inlineStr">
        <is>
          <t>SKÅNE LÄN</t>
        </is>
      </c>
      <c r="E3292" t="inlineStr">
        <is>
          <t>LANDSKRONA</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36733-2023</t>
        </is>
      </c>
      <c r="B3293" s="1" t="n">
        <v>45153.69989583334</v>
      </c>
      <c r="C3293" s="1" t="n">
        <v>45962</v>
      </c>
      <c r="D3293" t="inlineStr">
        <is>
          <t>SKÅNE LÄN</t>
        </is>
      </c>
      <c r="E3293" t="inlineStr">
        <is>
          <t>HÄSSLEHOLM</t>
        </is>
      </c>
      <c r="G3293" t="n">
        <v>4.8</v>
      </c>
      <c r="H3293" t="n">
        <v>0</v>
      </c>
      <c r="I3293" t="n">
        <v>0</v>
      </c>
      <c r="J3293" t="n">
        <v>0</v>
      </c>
      <c r="K3293" t="n">
        <v>0</v>
      </c>
      <c r="L3293" t="n">
        <v>0</v>
      </c>
      <c r="M3293" t="n">
        <v>0</v>
      </c>
      <c r="N3293" t="n">
        <v>0</v>
      </c>
      <c r="O3293" t="n">
        <v>0</v>
      </c>
      <c r="P3293" t="n">
        <v>0</v>
      </c>
      <c r="Q3293" t="n">
        <v>0</v>
      </c>
      <c r="R3293" s="2" t="inlineStr"/>
    </row>
    <row r="3294" ht="15" customHeight="1">
      <c r="A3294" t="inlineStr">
        <is>
          <t>A 14611-2024</t>
        </is>
      </c>
      <c r="B3294" s="1" t="n">
        <v>45396</v>
      </c>
      <c r="C3294" s="1" t="n">
        <v>45962</v>
      </c>
      <c r="D3294" t="inlineStr">
        <is>
          <t>SKÅNE LÄN</t>
        </is>
      </c>
      <c r="E3294" t="inlineStr">
        <is>
          <t>KRISTIANSTAD</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29435-2024</t>
        </is>
      </c>
      <c r="B3295" s="1" t="n">
        <v>45483.77171296296</v>
      </c>
      <c r="C3295" s="1" t="n">
        <v>45962</v>
      </c>
      <c r="D3295" t="inlineStr">
        <is>
          <t>SKÅNE LÄN</t>
        </is>
      </c>
      <c r="E3295" t="inlineStr">
        <is>
          <t>OSBY</t>
        </is>
      </c>
      <c r="F3295" t="inlineStr">
        <is>
          <t>Kommuner</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28189-2024</t>
        </is>
      </c>
      <c r="B3296" s="1" t="n">
        <v>45477</v>
      </c>
      <c r="C3296" s="1" t="n">
        <v>45962</v>
      </c>
      <c r="D3296" t="inlineStr">
        <is>
          <t>SKÅNE LÄN</t>
        </is>
      </c>
      <c r="E3296" t="inlineStr">
        <is>
          <t>HÖÖR</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7604-2024</t>
        </is>
      </c>
      <c r="B3297" s="1" t="n">
        <v>45348</v>
      </c>
      <c r="C3297" s="1" t="n">
        <v>45962</v>
      </c>
      <c r="D3297" t="inlineStr">
        <is>
          <t>SKÅNE LÄN</t>
        </is>
      </c>
      <c r="E3297" t="inlineStr">
        <is>
          <t>HÄSSLEHOLM</t>
        </is>
      </c>
      <c r="G3297" t="n">
        <v>11.1</v>
      </c>
      <c r="H3297" t="n">
        <v>0</v>
      </c>
      <c r="I3297" t="n">
        <v>0</v>
      </c>
      <c r="J3297" t="n">
        <v>0</v>
      </c>
      <c r="K3297" t="n">
        <v>0</v>
      </c>
      <c r="L3297" t="n">
        <v>0</v>
      </c>
      <c r="M3297" t="n">
        <v>0</v>
      </c>
      <c r="N3297" t="n">
        <v>0</v>
      </c>
      <c r="O3297" t="n">
        <v>0</v>
      </c>
      <c r="P3297" t="n">
        <v>0</v>
      </c>
      <c r="Q3297" t="n">
        <v>0</v>
      </c>
      <c r="R3297" s="2" t="inlineStr"/>
    </row>
    <row r="3298" ht="15" customHeight="1">
      <c r="A3298" t="inlineStr">
        <is>
          <t>A 28885-2022</t>
        </is>
      </c>
      <c r="B3298" s="1" t="n">
        <v>44749</v>
      </c>
      <c r="C3298" s="1" t="n">
        <v>45962</v>
      </c>
      <c r="D3298" t="inlineStr">
        <is>
          <t>SKÅNE LÄN</t>
        </is>
      </c>
      <c r="E3298" t="inlineStr">
        <is>
          <t>LUND</t>
        </is>
      </c>
      <c r="G3298" t="n">
        <v>2.4</v>
      </c>
      <c r="H3298" t="n">
        <v>0</v>
      </c>
      <c r="I3298" t="n">
        <v>0</v>
      </c>
      <c r="J3298" t="n">
        <v>0</v>
      </c>
      <c r="K3298" t="n">
        <v>0</v>
      </c>
      <c r="L3298" t="n">
        <v>0</v>
      </c>
      <c r="M3298" t="n">
        <v>0</v>
      </c>
      <c r="N3298" t="n">
        <v>0</v>
      </c>
      <c r="O3298" t="n">
        <v>0</v>
      </c>
      <c r="P3298" t="n">
        <v>0</v>
      </c>
      <c r="Q3298" t="n">
        <v>0</v>
      </c>
      <c r="R3298" s="2" t="inlineStr"/>
    </row>
    <row r="3299" ht="15" customHeight="1">
      <c r="A3299" t="inlineStr">
        <is>
          <t>A 23328-2022</t>
        </is>
      </c>
      <c r="B3299" s="1" t="n">
        <v>44720.50751157408</v>
      </c>
      <c r="C3299" s="1" t="n">
        <v>45962</v>
      </c>
      <c r="D3299" t="inlineStr">
        <is>
          <t>SKÅNE LÄN</t>
        </is>
      </c>
      <c r="E3299" t="inlineStr">
        <is>
          <t>ÄNGELHOLM</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29853-2024</t>
        </is>
      </c>
      <c r="B3300" s="1" t="n">
        <v>45485.65844907407</v>
      </c>
      <c r="C3300" s="1" t="n">
        <v>45962</v>
      </c>
      <c r="D3300" t="inlineStr">
        <is>
          <t>SKÅNE LÄN</t>
        </is>
      </c>
      <c r="E3300" t="inlineStr">
        <is>
          <t>HÄSSLEHOLM</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29024-2022</t>
        </is>
      </c>
      <c r="B3301" s="1" t="n">
        <v>44749.86331018519</v>
      </c>
      <c r="C3301" s="1" t="n">
        <v>45962</v>
      </c>
      <c r="D3301" t="inlineStr">
        <is>
          <t>SKÅNE LÄN</t>
        </is>
      </c>
      <c r="E3301" t="inlineStr">
        <is>
          <t>OSBY</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25603-2024</t>
        </is>
      </c>
      <c r="B3302" s="1" t="n">
        <v>45463</v>
      </c>
      <c r="C3302" s="1" t="n">
        <v>45962</v>
      </c>
      <c r="D3302" t="inlineStr">
        <is>
          <t>SKÅNE LÄN</t>
        </is>
      </c>
      <c r="E3302" t="inlineStr">
        <is>
          <t>SVEDALA</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37816-2021</t>
        </is>
      </c>
      <c r="B3303" s="1" t="n">
        <v>44403</v>
      </c>
      <c r="C3303" s="1" t="n">
        <v>45962</v>
      </c>
      <c r="D3303" t="inlineStr">
        <is>
          <t>SKÅNE LÄN</t>
        </is>
      </c>
      <c r="E3303" t="inlineStr">
        <is>
          <t>ÖSTRA GÖINGE</t>
        </is>
      </c>
      <c r="G3303" t="n">
        <v>9.5</v>
      </c>
      <c r="H3303" t="n">
        <v>0</v>
      </c>
      <c r="I3303" t="n">
        <v>0</v>
      </c>
      <c r="J3303" t="n">
        <v>0</v>
      </c>
      <c r="K3303" t="n">
        <v>0</v>
      </c>
      <c r="L3303" t="n">
        <v>0</v>
      </c>
      <c r="M3303" t="n">
        <v>0</v>
      </c>
      <c r="N3303" t="n">
        <v>0</v>
      </c>
      <c r="O3303" t="n">
        <v>0</v>
      </c>
      <c r="P3303" t="n">
        <v>0</v>
      </c>
      <c r="Q3303" t="n">
        <v>0</v>
      </c>
      <c r="R3303" s="2" t="inlineStr"/>
    </row>
    <row r="3304" ht="15" customHeight="1">
      <c r="A3304" t="inlineStr">
        <is>
          <t>A 56527-2021</t>
        </is>
      </c>
      <c r="B3304" s="1" t="n">
        <v>44480</v>
      </c>
      <c r="C3304" s="1" t="n">
        <v>45962</v>
      </c>
      <c r="D3304" t="inlineStr">
        <is>
          <t>SKÅNE LÄN</t>
        </is>
      </c>
      <c r="E3304" t="inlineStr">
        <is>
          <t>HÄSSLEHOLM</t>
        </is>
      </c>
      <c r="F3304" t="inlineStr">
        <is>
          <t>Kyrkan</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26678-2025</t>
        </is>
      </c>
      <c r="B3305" s="1" t="n">
        <v>45810.42681712963</v>
      </c>
      <c r="C3305" s="1" t="n">
        <v>45962</v>
      </c>
      <c r="D3305" t="inlineStr">
        <is>
          <t>SKÅNE LÄN</t>
        </is>
      </c>
      <c r="E3305" t="inlineStr">
        <is>
          <t>KRISTIANSTAD</t>
        </is>
      </c>
      <c r="G3305" t="n">
        <v>3.1</v>
      </c>
      <c r="H3305" t="n">
        <v>0</v>
      </c>
      <c r="I3305" t="n">
        <v>0</v>
      </c>
      <c r="J3305" t="n">
        <v>0</v>
      </c>
      <c r="K3305" t="n">
        <v>0</v>
      </c>
      <c r="L3305" t="n">
        <v>0</v>
      </c>
      <c r="M3305" t="n">
        <v>0</v>
      </c>
      <c r="N3305" t="n">
        <v>0</v>
      </c>
      <c r="O3305" t="n">
        <v>0</v>
      </c>
      <c r="P3305" t="n">
        <v>0</v>
      </c>
      <c r="Q3305" t="n">
        <v>0</v>
      </c>
      <c r="R3305" s="2" t="inlineStr"/>
    </row>
    <row r="3306" ht="15" customHeight="1">
      <c r="A3306" t="inlineStr">
        <is>
          <t>A 29287-2023</t>
        </is>
      </c>
      <c r="B3306" s="1" t="n">
        <v>45098</v>
      </c>
      <c r="C3306" s="1" t="n">
        <v>45962</v>
      </c>
      <c r="D3306" t="inlineStr">
        <is>
          <t>SKÅNE LÄN</t>
        </is>
      </c>
      <c r="E3306" t="inlineStr">
        <is>
          <t>HÄSSLEHOLM</t>
        </is>
      </c>
      <c r="G3306" t="n">
        <v>5.7</v>
      </c>
      <c r="H3306" t="n">
        <v>0</v>
      </c>
      <c r="I3306" t="n">
        <v>0</v>
      </c>
      <c r="J3306" t="n">
        <v>0</v>
      </c>
      <c r="K3306" t="n">
        <v>0</v>
      </c>
      <c r="L3306" t="n">
        <v>0</v>
      </c>
      <c r="M3306" t="n">
        <v>0</v>
      </c>
      <c r="N3306" t="n">
        <v>0</v>
      </c>
      <c r="O3306" t="n">
        <v>0</v>
      </c>
      <c r="P3306" t="n">
        <v>0</v>
      </c>
      <c r="Q3306" t="n">
        <v>0</v>
      </c>
      <c r="R3306" s="2" t="inlineStr"/>
    </row>
    <row r="3307" ht="15" customHeight="1">
      <c r="A3307" t="inlineStr">
        <is>
          <t>A 60506-2023</t>
        </is>
      </c>
      <c r="B3307" s="1" t="n">
        <v>45259</v>
      </c>
      <c r="C3307" s="1" t="n">
        <v>45962</v>
      </c>
      <c r="D3307" t="inlineStr">
        <is>
          <t>SKÅNE LÄN</t>
        </is>
      </c>
      <c r="E3307" t="inlineStr">
        <is>
          <t>PERSTORP</t>
        </is>
      </c>
      <c r="F3307" t="inlineStr">
        <is>
          <t>Övriga Aktiebolag</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60509-2023</t>
        </is>
      </c>
      <c r="B3308" s="1" t="n">
        <v>45259</v>
      </c>
      <c r="C3308" s="1" t="n">
        <v>45962</v>
      </c>
      <c r="D3308" t="inlineStr">
        <is>
          <t>SKÅNE LÄN</t>
        </is>
      </c>
      <c r="E3308" t="inlineStr">
        <is>
          <t>HÄSSLEHOLM</t>
        </is>
      </c>
      <c r="F3308" t="inlineStr">
        <is>
          <t>Övriga Aktiebolag</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58641-2023</t>
        </is>
      </c>
      <c r="B3309" s="1" t="n">
        <v>45251</v>
      </c>
      <c r="C3309" s="1" t="n">
        <v>45962</v>
      </c>
      <c r="D3309" t="inlineStr">
        <is>
          <t>SKÅNE LÄN</t>
        </is>
      </c>
      <c r="E3309" t="inlineStr">
        <is>
          <t>HÖRBY</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5992-2022</t>
        </is>
      </c>
      <c r="B3310" s="1" t="n">
        <v>44599</v>
      </c>
      <c r="C3310" s="1" t="n">
        <v>45962</v>
      </c>
      <c r="D3310" t="inlineStr">
        <is>
          <t>SKÅNE LÄN</t>
        </is>
      </c>
      <c r="E3310" t="inlineStr">
        <is>
          <t>HÄSSLEHOLM</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38358-2024</t>
        </is>
      </c>
      <c r="B3311" s="1" t="n">
        <v>45545.79068287037</v>
      </c>
      <c r="C3311" s="1" t="n">
        <v>45962</v>
      </c>
      <c r="D3311" t="inlineStr">
        <is>
          <t>SKÅNE LÄN</t>
        </is>
      </c>
      <c r="E3311" t="inlineStr">
        <is>
          <t>HÄSSLEHOLM</t>
        </is>
      </c>
      <c r="G3311" t="n">
        <v>9</v>
      </c>
      <c r="H3311" t="n">
        <v>0</v>
      </c>
      <c r="I3311" t="n">
        <v>0</v>
      </c>
      <c r="J3311" t="n">
        <v>0</v>
      </c>
      <c r="K3311" t="n">
        <v>0</v>
      </c>
      <c r="L3311" t="n">
        <v>0</v>
      </c>
      <c r="M3311" t="n">
        <v>0</v>
      </c>
      <c r="N3311" t="n">
        <v>0</v>
      </c>
      <c r="O3311" t="n">
        <v>0</v>
      </c>
      <c r="P3311" t="n">
        <v>0</v>
      </c>
      <c r="Q3311" t="n">
        <v>0</v>
      </c>
      <c r="R3311" s="2" t="inlineStr"/>
    </row>
    <row r="3312" ht="15" customHeight="1">
      <c r="A3312" t="inlineStr">
        <is>
          <t>A 21572-2023</t>
        </is>
      </c>
      <c r="B3312" s="1" t="n">
        <v>45063</v>
      </c>
      <c r="C3312" s="1" t="n">
        <v>45962</v>
      </c>
      <c r="D3312" t="inlineStr">
        <is>
          <t>SKÅNE LÄN</t>
        </is>
      </c>
      <c r="E3312" t="inlineStr">
        <is>
          <t>BÅSTAD</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26592-2025</t>
        </is>
      </c>
      <c r="B3313" s="1" t="n">
        <v>45807.8859375</v>
      </c>
      <c r="C3313" s="1" t="n">
        <v>45962</v>
      </c>
      <c r="D3313" t="inlineStr">
        <is>
          <t>SKÅNE LÄN</t>
        </is>
      </c>
      <c r="E3313" t="inlineStr">
        <is>
          <t>HÖÖR</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74112-2021</t>
        </is>
      </c>
      <c r="B3314" s="1" t="n">
        <v>44557</v>
      </c>
      <c r="C3314" s="1" t="n">
        <v>45962</v>
      </c>
      <c r="D3314" t="inlineStr">
        <is>
          <t>SKÅNE LÄN</t>
        </is>
      </c>
      <c r="E3314" t="inlineStr">
        <is>
          <t>ÖSTRA GÖINGE</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74214-2021</t>
        </is>
      </c>
      <c r="B3315" s="1" t="n">
        <v>44553</v>
      </c>
      <c r="C3315" s="1" t="n">
        <v>45962</v>
      </c>
      <c r="D3315" t="inlineStr">
        <is>
          <t>SKÅNE LÄN</t>
        </is>
      </c>
      <c r="E3315" t="inlineStr">
        <is>
          <t>ÄNGELHOLM</t>
        </is>
      </c>
      <c r="G3315" t="n">
        <v>19.8</v>
      </c>
      <c r="H3315" t="n">
        <v>0</v>
      </c>
      <c r="I3315" t="n">
        <v>0</v>
      </c>
      <c r="J3315" t="n">
        <v>0</v>
      </c>
      <c r="K3315" t="n">
        <v>0</v>
      </c>
      <c r="L3315" t="n">
        <v>0</v>
      </c>
      <c r="M3315" t="n">
        <v>0</v>
      </c>
      <c r="N3315" t="n">
        <v>0</v>
      </c>
      <c r="O3315" t="n">
        <v>0</v>
      </c>
      <c r="P3315" t="n">
        <v>0</v>
      </c>
      <c r="Q3315" t="n">
        <v>0</v>
      </c>
      <c r="R3315" s="2" t="inlineStr"/>
    </row>
    <row r="3316" ht="15" customHeight="1">
      <c r="A3316" t="inlineStr">
        <is>
          <t>A 1562-2023</t>
        </is>
      </c>
      <c r="B3316" s="1" t="n">
        <v>44937.60450231482</v>
      </c>
      <c r="C3316" s="1" t="n">
        <v>45962</v>
      </c>
      <c r="D3316" t="inlineStr">
        <is>
          <t>SKÅNE LÄN</t>
        </is>
      </c>
      <c r="E3316" t="inlineStr">
        <is>
          <t>HÄSSLEHOLM</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155-2021</t>
        </is>
      </c>
      <c r="B3317" s="1" t="n">
        <v>44200</v>
      </c>
      <c r="C3317" s="1" t="n">
        <v>45962</v>
      </c>
      <c r="D3317" t="inlineStr">
        <is>
          <t>SKÅNE LÄN</t>
        </is>
      </c>
      <c r="E3317" t="inlineStr">
        <is>
          <t>OSBY</t>
        </is>
      </c>
      <c r="G3317" t="n">
        <v>2.1</v>
      </c>
      <c r="H3317" t="n">
        <v>0</v>
      </c>
      <c r="I3317" t="n">
        <v>0</v>
      </c>
      <c r="J3317" t="n">
        <v>0</v>
      </c>
      <c r="K3317" t="n">
        <v>0</v>
      </c>
      <c r="L3317" t="n">
        <v>0</v>
      </c>
      <c r="M3317" t="n">
        <v>0</v>
      </c>
      <c r="N3317" t="n">
        <v>0</v>
      </c>
      <c r="O3317" t="n">
        <v>0</v>
      </c>
      <c r="P3317" t="n">
        <v>0</v>
      </c>
      <c r="Q3317" t="n">
        <v>0</v>
      </c>
      <c r="R3317" s="2" t="inlineStr"/>
    </row>
    <row r="3318" ht="15" customHeight="1">
      <c r="A3318" t="inlineStr">
        <is>
          <t>A 45220-2023</t>
        </is>
      </c>
      <c r="B3318" s="1" t="n">
        <v>45191</v>
      </c>
      <c r="C3318" s="1" t="n">
        <v>45962</v>
      </c>
      <c r="D3318" t="inlineStr">
        <is>
          <t>SKÅNE LÄN</t>
        </is>
      </c>
      <c r="E3318" t="inlineStr">
        <is>
          <t>HÄSSLEHOLM</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25324-2024</t>
        </is>
      </c>
      <c r="B3319" s="1" t="n">
        <v>45462.804375</v>
      </c>
      <c r="C3319" s="1" t="n">
        <v>45962</v>
      </c>
      <c r="D3319" t="inlineStr">
        <is>
          <t>SKÅNE LÄN</t>
        </is>
      </c>
      <c r="E3319" t="inlineStr">
        <is>
          <t>HÄSSLEHOLM</t>
        </is>
      </c>
      <c r="G3319" t="n">
        <v>0.2</v>
      </c>
      <c r="H3319" t="n">
        <v>0</v>
      </c>
      <c r="I3319" t="n">
        <v>0</v>
      </c>
      <c r="J3319" t="n">
        <v>0</v>
      </c>
      <c r="K3319" t="n">
        <v>0</v>
      </c>
      <c r="L3319" t="n">
        <v>0</v>
      </c>
      <c r="M3319" t="n">
        <v>0</v>
      </c>
      <c r="N3319" t="n">
        <v>0</v>
      </c>
      <c r="O3319" t="n">
        <v>0</v>
      </c>
      <c r="P3319" t="n">
        <v>0</v>
      </c>
      <c r="Q3319" t="n">
        <v>0</v>
      </c>
      <c r="R3319" s="2" t="inlineStr"/>
    </row>
    <row r="3320" ht="15" customHeight="1">
      <c r="A3320" t="inlineStr">
        <is>
          <t>A 37978-2024</t>
        </is>
      </c>
      <c r="B3320" s="1" t="n">
        <v>45544.57798611111</v>
      </c>
      <c r="C3320" s="1" t="n">
        <v>45962</v>
      </c>
      <c r="D3320" t="inlineStr">
        <is>
          <t>SKÅNE LÄN</t>
        </is>
      </c>
      <c r="E3320" t="inlineStr">
        <is>
          <t>ÖSTRA GÖINGE</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61648-2022</t>
        </is>
      </c>
      <c r="B3321" s="1" t="n">
        <v>44916.88560185185</v>
      </c>
      <c r="C3321" s="1" t="n">
        <v>45962</v>
      </c>
      <c r="D3321" t="inlineStr">
        <is>
          <t>SKÅNE LÄN</t>
        </is>
      </c>
      <c r="E3321" t="inlineStr">
        <is>
          <t>OSBY</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8803-2023</t>
        </is>
      </c>
      <c r="B3322" s="1" t="n">
        <v>44978.61712962963</v>
      </c>
      <c r="C3322" s="1" t="n">
        <v>45962</v>
      </c>
      <c r="D3322" t="inlineStr">
        <is>
          <t>SKÅNE LÄN</t>
        </is>
      </c>
      <c r="E3322" t="inlineStr">
        <is>
          <t>HÄSSLEHOLM</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32967-2023</t>
        </is>
      </c>
      <c r="B3323" s="1" t="n">
        <v>45125</v>
      </c>
      <c r="C3323" s="1" t="n">
        <v>45962</v>
      </c>
      <c r="D3323" t="inlineStr">
        <is>
          <t>SKÅNE LÄN</t>
        </is>
      </c>
      <c r="E3323" t="inlineStr">
        <is>
          <t>HÄSSLEHOLM</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32968-2023</t>
        </is>
      </c>
      <c r="B3324" s="1" t="n">
        <v>45125</v>
      </c>
      <c r="C3324" s="1" t="n">
        <v>45962</v>
      </c>
      <c r="D3324" t="inlineStr">
        <is>
          <t>SKÅNE LÄN</t>
        </is>
      </c>
      <c r="E3324" t="inlineStr">
        <is>
          <t>HÄSSLEHOLM</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27393-2025</t>
        </is>
      </c>
      <c r="B3325" s="1" t="n">
        <v>45812.68295138889</v>
      </c>
      <c r="C3325" s="1" t="n">
        <v>45962</v>
      </c>
      <c r="D3325" t="inlineStr">
        <is>
          <t>SKÅNE LÄN</t>
        </is>
      </c>
      <c r="E3325" t="inlineStr">
        <is>
          <t>HÄSSLEHOLM</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10277-2023</t>
        </is>
      </c>
      <c r="B3326" s="1" t="n">
        <v>44986</v>
      </c>
      <c r="C3326" s="1" t="n">
        <v>45962</v>
      </c>
      <c r="D3326" t="inlineStr">
        <is>
          <t>SKÅNE LÄN</t>
        </is>
      </c>
      <c r="E3326" t="inlineStr">
        <is>
          <t>HÄSSLEHOLM</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10290-2023</t>
        </is>
      </c>
      <c r="B3327" s="1" t="n">
        <v>44986</v>
      </c>
      <c r="C3327" s="1" t="n">
        <v>45962</v>
      </c>
      <c r="D3327" t="inlineStr">
        <is>
          <t>SKÅNE LÄN</t>
        </is>
      </c>
      <c r="E3327" t="inlineStr">
        <is>
          <t>HÄSSLEHOLM</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26043-2024</t>
        </is>
      </c>
      <c r="B3328" s="1" t="n">
        <v>45468</v>
      </c>
      <c r="C3328" s="1" t="n">
        <v>45962</v>
      </c>
      <c r="D3328" t="inlineStr">
        <is>
          <t>SKÅNE LÄN</t>
        </is>
      </c>
      <c r="E3328" t="inlineStr">
        <is>
          <t>OSBY</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39238-2022</t>
        </is>
      </c>
      <c r="B3329" s="1" t="n">
        <v>44817</v>
      </c>
      <c r="C3329" s="1" t="n">
        <v>45962</v>
      </c>
      <c r="D3329" t="inlineStr">
        <is>
          <t>SKÅNE LÄN</t>
        </is>
      </c>
      <c r="E3329" t="inlineStr">
        <is>
          <t>KLIPPAN</t>
        </is>
      </c>
      <c r="G3329" t="n">
        <v>3</v>
      </c>
      <c r="H3329" t="n">
        <v>0</v>
      </c>
      <c r="I3329" t="n">
        <v>0</v>
      </c>
      <c r="J3329" t="n">
        <v>0</v>
      </c>
      <c r="K3329" t="n">
        <v>0</v>
      </c>
      <c r="L3329" t="n">
        <v>0</v>
      </c>
      <c r="M3329" t="n">
        <v>0</v>
      </c>
      <c r="N3329" t="n">
        <v>0</v>
      </c>
      <c r="O3329" t="n">
        <v>0</v>
      </c>
      <c r="P3329" t="n">
        <v>0</v>
      </c>
      <c r="Q3329" t="n">
        <v>0</v>
      </c>
      <c r="R3329" s="2" t="inlineStr"/>
    </row>
    <row r="3330" ht="15" customHeight="1">
      <c r="A3330" t="inlineStr">
        <is>
          <t>A 52882-2024</t>
        </is>
      </c>
      <c r="B3330" s="1" t="n">
        <v>45610</v>
      </c>
      <c r="C3330" s="1" t="n">
        <v>45962</v>
      </c>
      <c r="D3330" t="inlineStr">
        <is>
          <t>SKÅNE LÄN</t>
        </is>
      </c>
      <c r="E3330" t="inlineStr">
        <is>
          <t>KLIPPAN</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4809-2025</t>
        </is>
      </c>
      <c r="B3331" s="1" t="n">
        <v>45688.60148148148</v>
      </c>
      <c r="C3331" s="1" t="n">
        <v>45962</v>
      </c>
      <c r="D3331" t="inlineStr">
        <is>
          <t>SKÅNE LÄN</t>
        </is>
      </c>
      <c r="E3331" t="inlineStr">
        <is>
          <t>HÄSSLEHOLM</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36414-2023</t>
        </is>
      </c>
      <c r="B3332" s="1" t="n">
        <v>45152</v>
      </c>
      <c r="C3332" s="1" t="n">
        <v>45962</v>
      </c>
      <c r="D3332" t="inlineStr">
        <is>
          <t>SKÅNE LÄN</t>
        </is>
      </c>
      <c r="E3332" t="inlineStr">
        <is>
          <t>SJÖBO</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12780-2024</t>
        </is>
      </c>
      <c r="B3333" s="1" t="n">
        <v>45384.59726851852</v>
      </c>
      <c r="C3333" s="1" t="n">
        <v>45962</v>
      </c>
      <c r="D3333" t="inlineStr">
        <is>
          <t>SKÅNE LÄN</t>
        </is>
      </c>
      <c r="E3333" t="inlineStr">
        <is>
          <t>HÄSSLEHOLM</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27287-2025</t>
        </is>
      </c>
      <c r="B3334" s="1" t="n">
        <v>45812.55164351852</v>
      </c>
      <c r="C3334" s="1" t="n">
        <v>45962</v>
      </c>
      <c r="D3334" t="inlineStr">
        <is>
          <t>SKÅNE LÄN</t>
        </is>
      </c>
      <c r="E3334" t="inlineStr">
        <is>
          <t>KRISTIANSTAD</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9375-2023</t>
        </is>
      </c>
      <c r="B3335" s="1" t="n">
        <v>44981</v>
      </c>
      <c r="C3335" s="1" t="n">
        <v>45962</v>
      </c>
      <c r="D3335" t="inlineStr">
        <is>
          <t>SKÅNE LÄN</t>
        </is>
      </c>
      <c r="E3335" t="inlineStr">
        <is>
          <t>HÄSSLEHOLM</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6528-2021</t>
        </is>
      </c>
      <c r="B3336" s="1" t="n">
        <v>44235</v>
      </c>
      <c r="C3336" s="1" t="n">
        <v>45962</v>
      </c>
      <c r="D3336" t="inlineStr">
        <is>
          <t>SKÅNE LÄN</t>
        </is>
      </c>
      <c r="E3336" t="inlineStr">
        <is>
          <t>PERSTORP</t>
        </is>
      </c>
      <c r="F3336" t="inlineStr">
        <is>
          <t>Övriga Aktiebolag</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3864-2023</t>
        </is>
      </c>
      <c r="B3337" s="1" t="n">
        <v>44951.76491898148</v>
      </c>
      <c r="C3337" s="1" t="n">
        <v>45962</v>
      </c>
      <c r="D3337" t="inlineStr">
        <is>
          <t>SKÅNE LÄN</t>
        </is>
      </c>
      <c r="E3337" t="inlineStr">
        <is>
          <t>ÖRKELLJUNGA</t>
        </is>
      </c>
      <c r="G3337" t="n">
        <v>6.2</v>
      </c>
      <c r="H3337" t="n">
        <v>0</v>
      </c>
      <c r="I3337" t="n">
        <v>0</v>
      </c>
      <c r="J3337" t="n">
        <v>0</v>
      </c>
      <c r="K3337" t="n">
        <v>0</v>
      </c>
      <c r="L3337" t="n">
        <v>0</v>
      </c>
      <c r="M3337" t="n">
        <v>0</v>
      </c>
      <c r="N3337" t="n">
        <v>0</v>
      </c>
      <c r="O3337" t="n">
        <v>0</v>
      </c>
      <c r="P3337" t="n">
        <v>0</v>
      </c>
      <c r="Q3337" t="n">
        <v>0</v>
      </c>
      <c r="R3337" s="2" t="inlineStr"/>
    </row>
    <row r="3338" ht="15" customHeight="1">
      <c r="A3338" t="inlineStr">
        <is>
          <t>A 3874-2023</t>
        </is>
      </c>
      <c r="B3338" s="1" t="n">
        <v>44951.85414351852</v>
      </c>
      <c r="C3338" s="1" t="n">
        <v>45962</v>
      </c>
      <c r="D3338" t="inlineStr">
        <is>
          <t>SKÅNE LÄN</t>
        </is>
      </c>
      <c r="E3338" t="inlineStr">
        <is>
          <t>OSBY</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24034-2023</t>
        </is>
      </c>
      <c r="B3339" s="1" t="n">
        <v>45078.86898148148</v>
      </c>
      <c r="C3339" s="1" t="n">
        <v>45962</v>
      </c>
      <c r="D3339" t="inlineStr">
        <is>
          <t>SKÅNE LÄN</t>
        </is>
      </c>
      <c r="E3339" t="inlineStr">
        <is>
          <t>KLIPPAN</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8208-2023</t>
        </is>
      </c>
      <c r="B3340" s="1" t="n">
        <v>44971</v>
      </c>
      <c r="C3340" s="1" t="n">
        <v>45962</v>
      </c>
      <c r="D3340" t="inlineStr">
        <is>
          <t>SKÅNE LÄN</t>
        </is>
      </c>
      <c r="E3340" t="inlineStr">
        <is>
          <t>KRISTIANSTAD</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53917-2021</t>
        </is>
      </c>
      <c r="B3341" s="1" t="n">
        <v>44469.78644675926</v>
      </c>
      <c r="C3341" s="1" t="n">
        <v>45962</v>
      </c>
      <c r="D3341" t="inlineStr">
        <is>
          <t>SKÅNE LÄN</t>
        </is>
      </c>
      <c r="E3341" t="inlineStr">
        <is>
          <t>OSBY</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19583-2021</t>
        </is>
      </c>
      <c r="B3342" s="1" t="n">
        <v>44312</v>
      </c>
      <c r="C3342" s="1" t="n">
        <v>45962</v>
      </c>
      <c r="D3342" t="inlineStr">
        <is>
          <t>SKÅNE LÄN</t>
        </is>
      </c>
      <c r="E3342" t="inlineStr">
        <is>
          <t>HÖRBY</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46737-2024</t>
        </is>
      </c>
      <c r="B3343" s="1" t="n">
        <v>45583.47193287037</v>
      </c>
      <c r="C3343" s="1" t="n">
        <v>45962</v>
      </c>
      <c r="D3343" t="inlineStr">
        <is>
          <t>SKÅNE LÄN</t>
        </is>
      </c>
      <c r="E3343" t="inlineStr">
        <is>
          <t>PERSTORP</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38631-2023</t>
        </is>
      </c>
      <c r="B3344" s="1" t="n">
        <v>45162</v>
      </c>
      <c r="C3344" s="1" t="n">
        <v>45962</v>
      </c>
      <c r="D3344" t="inlineStr">
        <is>
          <t>SKÅNE LÄN</t>
        </is>
      </c>
      <c r="E3344" t="inlineStr">
        <is>
          <t>YSTAD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5196-2022</t>
        </is>
      </c>
      <c r="B3345" s="1" t="n">
        <v>44593</v>
      </c>
      <c r="C3345" s="1" t="n">
        <v>45962</v>
      </c>
      <c r="D3345" t="inlineStr">
        <is>
          <t>SKÅNE LÄN</t>
        </is>
      </c>
      <c r="E3345" t="inlineStr">
        <is>
          <t>KLIPPAN</t>
        </is>
      </c>
      <c r="G3345" t="n">
        <v>5.6</v>
      </c>
      <c r="H3345" t="n">
        <v>0</v>
      </c>
      <c r="I3345" t="n">
        <v>0</v>
      </c>
      <c r="J3345" t="n">
        <v>0</v>
      </c>
      <c r="K3345" t="n">
        <v>0</v>
      </c>
      <c r="L3345" t="n">
        <v>0</v>
      </c>
      <c r="M3345" t="n">
        <v>0</v>
      </c>
      <c r="N3345" t="n">
        <v>0</v>
      </c>
      <c r="O3345" t="n">
        <v>0</v>
      </c>
      <c r="P3345" t="n">
        <v>0</v>
      </c>
      <c r="Q3345" t="n">
        <v>0</v>
      </c>
      <c r="R3345" s="2" t="inlineStr"/>
    </row>
    <row r="3346" ht="15" customHeight="1">
      <c r="A3346" t="inlineStr">
        <is>
          <t>A 56596-2022</t>
        </is>
      </c>
      <c r="B3346" s="1" t="n">
        <v>44888</v>
      </c>
      <c r="C3346" s="1" t="n">
        <v>45962</v>
      </c>
      <c r="D3346" t="inlineStr">
        <is>
          <t>SKÅNE LÄN</t>
        </is>
      </c>
      <c r="E3346" t="inlineStr">
        <is>
          <t>HÖÖR</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56633-2022</t>
        </is>
      </c>
      <c r="B3347" s="1" t="n">
        <v>44893.61615740741</v>
      </c>
      <c r="C3347" s="1" t="n">
        <v>45962</v>
      </c>
      <c r="D3347" t="inlineStr">
        <is>
          <t>SKÅNE LÄN</t>
        </is>
      </c>
      <c r="E3347" t="inlineStr">
        <is>
          <t>KRISTIANSTAD</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27523-2025</t>
        </is>
      </c>
      <c r="B3348" s="1" t="n">
        <v>45813</v>
      </c>
      <c r="C3348" s="1" t="n">
        <v>45962</v>
      </c>
      <c r="D3348" t="inlineStr">
        <is>
          <t>SKÅNE LÄN</t>
        </is>
      </c>
      <c r="E3348" t="inlineStr">
        <is>
          <t>ÖRKELLJUNGA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26857-2025</t>
        </is>
      </c>
      <c r="B3349" s="1" t="n">
        <v>45810</v>
      </c>
      <c r="C3349" s="1" t="n">
        <v>45962</v>
      </c>
      <c r="D3349" t="inlineStr">
        <is>
          <t>SKÅNE LÄN</t>
        </is>
      </c>
      <c r="E3349" t="inlineStr">
        <is>
          <t>HÄSSLEHOLM</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15057-2023</t>
        </is>
      </c>
      <c r="B3350" s="1" t="n">
        <v>45015.69164351852</v>
      </c>
      <c r="C3350" s="1" t="n">
        <v>45962</v>
      </c>
      <c r="D3350" t="inlineStr">
        <is>
          <t>SKÅNE LÄN</t>
        </is>
      </c>
      <c r="E3350" t="inlineStr">
        <is>
          <t>ÖSTRA GÖINGE</t>
        </is>
      </c>
      <c r="G3350" t="n">
        <v>3.6</v>
      </c>
      <c r="H3350" t="n">
        <v>0</v>
      </c>
      <c r="I3350" t="n">
        <v>0</v>
      </c>
      <c r="J3350" t="n">
        <v>0</v>
      </c>
      <c r="K3350" t="n">
        <v>0</v>
      </c>
      <c r="L3350" t="n">
        <v>0</v>
      </c>
      <c r="M3350" t="n">
        <v>0</v>
      </c>
      <c r="N3350" t="n">
        <v>0</v>
      </c>
      <c r="O3350" t="n">
        <v>0</v>
      </c>
      <c r="P3350" t="n">
        <v>0</v>
      </c>
      <c r="Q3350" t="n">
        <v>0</v>
      </c>
      <c r="R3350" s="2" t="inlineStr"/>
    </row>
    <row r="3351" ht="15" customHeight="1">
      <c r="A3351" t="inlineStr">
        <is>
          <t>A 16368-2025</t>
        </is>
      </c>
      <c r="B3351" s="1" t="n">
        <v>45751</v>
      </c>
      <c r="C3351" s="1" t="n">
        <v>45962</v>
      </c>
      <c r="D3351" t="inlineStr">
        <is>
          <t>SKÅNE LÄN</t>
        </is>
      </c>
      <c r="E3351" t="inlineStr">
        <is>
          <t>HÄSSLEHOLM</t>
        </is>
      </c>
      <c r="G3351" t="n">
        <v>5</v>
      </c>
      <c r="H3351" t="n">
        <v>0</v>
      </c>
      <c r="I3351" t="n">
        <v>0</v>
      </c>
      <c r="J3351" t="n">
        <v>0</v>
      </c>
      <c r="K3351" t="n">
        <v>0</v>
      </c>
      <c r="L3351" t="n">
        <v>0</v>
      </c>
      <c r="M3351" t="n">
        <v>0</v>
      </c>
      <c r="N3351" t="n">
        <v>0</v>
      </c>
      <c r="O3351" t="n">
        <v>0</v>
      </c>
      <c r="P3351" t="n">
        <v>0</v>
      </c>
      <c r="Q3351" t="n">
        <v>0</v>
      </c>
      <c r="R3351" s="2" t="inlineStr"/>
    </row>
    <row r="3352" ht="15" customHeight="1">
      <c r="A3352" t="inlineStr">
        <is>
          <t>A 27349-2025</t>
        </is>
      </c>
      <c r="B3352" s="1" t="n">
        <v>45812</v>
      </c>
      <c r="C3352" s="1" t="n">
        <v>45962</v>
      </c>
      <c r="D3352" t="inlineStr">
        <is>
          <t>SKÅNE LÄN</t>
        </is>
      </c>
      <c r="E3352" t="inlineStr">
        <is>
          <t>HÄSSLEHOLM</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27449-2025</t>
        </is>
      </c>
      <c r="B3353" s="1" t="n">
        <v>45813.33200231481</v>
      </c>
      <c r="C3353" s="1" t="n">
        <v>45962</v>
      </c>
      <c r="D3353" t="inlineStr">
        <is>
          <t>SKÅNE LÄN</t>
        </is>
      </c>
      <c r="E3353" t="inlineStr">
        <is>
          <t>ÖRKELLJUNGA</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10062-2024</t>
        </is>
      </c>
      <c r="B3354" s="1" t="n">
        <v>45364</v>
      </c>
      <c r="C3354" s="1" t="n">
        <v>45962</v>
      </c>
      <c r="D3354" t="inlineStr">
        <is>
          <t>SKÅNE LÄN</t>
        </is>
      </c>
      <c r="E3354" t="inlineStr">
        <is>
          <t>KRISTIANSTAD</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46709-2024</t>
        </is>
      </c>
      <c r="B3355" s="1" t="n">
        <v>45583</v>
      </c>
      <c r="C3355" s="1" t="n">
        <v>45962</v>
      </c>
      <c r="D3355" t="inlineStr">
        <is>
          <t>SKÅNE LÄN</t>
        </is>
      </c>
      <c r="E3355" t="inlineStr">
        <is>
          <t>ÖSTRA GÖINGE</t>
        </is>
      </c>
      <c r="G3355" t="n">
        <v>2.3</v>
      </c>
      <c r="H3355" t="n">
        <v>0</v>
      </c>
      <c r="I3355" t="n">
        <v>0</v>
      </c>
      <c r="J3355" t="n">
        <v>0</v>
      </c>
      <c r="K3355" t="n">
        <v>0</v>
      </c>
      <c r="L3355" t="n">
        <v>0</v>
      </c>
      <c r="M3355" t="n">
        <v>0</v>
      </c>
      <c r="N3355" t="n">
        <v>0</v>
      </c>
      <c r="O3355" t="n">
        <v>0</v>
      </c>
      <c r="P3355" t="n">
        <v>0</v>
      </c>
      <c r="Q3355" t="n">
        <v>0</v>
      </c>
      <c r="R3355" s="2" t="inlineStr"/>
    </row>
    <row r="3356" ht="15" customHeight="1">
      <c r="A3356" t="inlineStr">
        <is>
          <t>A 46959-2024</t>
        </is>
      </c>
      <c r="B3356" s="1" t="n">
        <v>45586.29178240741</v>
      </c>
      <c r="C3356" s="1" t="n">
        <v>45962</v>
      </c>
      <c r="D3356" t="inlineStr">
        <is>
          <t>SKÅNE LÄN</t>
        </is>
      </c>
      <c r="E3356" t="inlineStr">
        <is>
          <t>KRISTIANSTAD</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19116-2025</t>
        </is>
      </c>
      <c r="B3357" s="1" t="n">
        <v>45768.72400462963</v>
      </c>
      <c r="C3357" s="1" t="n">
        <v>45962</v>
      </c>
      <c r="D3357" t="inlineStr">
        <is>
          <t>SKÅNE LÄN</t>
        </is>
      </c>
      <c r="E3357" t="inlineStr">
        <is>
          <t>OSBY</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15154-2023</t>
        </is>
      </c>
      <c r="B3358" s="1" t="n">
        <v>45016</v>
      </c>
      <c r="C3358" s="1" t="n">
        <v>45962</v>
      </c>
      <c r="D3358" t="inlineStr">
        <is>
          <t>SKÅNE LÄN</t>
        </is>
      </c>
      <c r="E3358" t="inlineStr">
        <is>
          <t>ÄNGELHOLM</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15041-2023</t>
        </is>
      </c>
      <c r="B3359" s="1" t="n">
        <v>45015.65375</v>
      </c>
      <c r="C3359" s="1" t="n">
        <v>45962</v>
      </c>
      <c r="D3359" t="inlineStr">
        <is>
          <t>SKÅNE LÄN</t>
        </is>
      </c>
      <c r="E3359" t="inlineStr">
        <is>
          <t>OSBY</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25965-2023</t>
        </is>
      </c>
      <c r="B3360" s="1" t="n">
        <v>45090.79171296296</v>
      </c>
      <c r="C3360" s="1" t="n">
        <v>45962</v>
      </c>
      <c r="D3360" t="inlineStr">
        <is>
          <t>SKÅNE LÄN</t>
        </is>
      </c>
      <c r="E3360" t="inlineStr">
        <is>
          <t>ÖRKELLJUNGA</t>
        </is>
      </c>
      <c r="G3360" t="n">
        <v>2.5</v>
      </c>
      <c r="H3360" t="n">
        <v>0</v>
      </c>
      <c r="I3360" t="n">
        <v>0</v>
      </c>
      <c r="J3360" t="n">
        <v>0</v>
      </c>
      <c r="K3360" t="n">
        <v>0</v>
      </c>
      <c r="L3360" t="n">
        <v>0</v>
      </c>
      <c r="M3360" t="n">
        <v>0</v>
      </c>
      <c r="N3360" t="n">
        <v>0</v>
      </c>
      <c r="O3360" t="n">
        <v>0</v>
      </c>
      <c r="P3360" t="n">
        <v>0</v>
      </c>
      <c r="Q3360" t="n">
        <v>0</v>
      </c>
      <c r="R3360" s="2" t="inlineStr"/>
    </row>
    <row r="3361" ht="15" customHeight="1">
      <c r="A3361" t="inlineStr">
        <is>
          <t>A 20160-2024</t>
        </is>
      </c>
      <c r="B3361" s="1" t="n">
        <v>45434</v>
      </c>
      <c r="C3361" s="1" t="n">
        <v>45962</v>
      </c>
      <c r="D3361" t="inlineStr">
        <is>
          <t>SKÅNE LÄN</t>
        </is>
      </c>
      <c r="E3361" t="inlineStr">
        <is>
          <t>ESLÖV</t>
        </is>
      </c>
      <c r="G3361" t="n">
        <v>4.1</v>
      </c>
      <c r="H3361" t="n">
        <v>0</v>
      </c>
      <c r="I3361" t="n">
        <v>0</v>
      </c>
      <c r="J3361" t="n">
        <v>0</v>
      </c>
      <c r="K3361" t="n">
        <v>0</v>
      </c>
      <c r="L3361" t="n">
        <v>0</v>
      </c>
      <c r="M3361" t="n">
        <v>0</v>
      </c>
      <c r="N3361" t="n">
        <v>0</v>
      </c>
      <c r="O3361" t="n">
        <v>0</v>
      </c>
      <c r="P3361" t="n">
        <v>0</v>
      </c>
      <c r="Q3361" t="n">
        <v>0</v>
      </c>
      <c r="R3361" s="2" t="inlineStr"/>
    </row>
    <row r="3362" ht="15" customHeight="1">
      <c r="A3362" t="inlineStr">
        <is>
          <t>A 27219-2022</t>
        </is>
      </c>
      <c r="B3362" s="1" t="n">
        <v>44741</v>
      </c>
      <c r="C3362" s="1" t="n">
        <v>45962</v>
      </c>
      <c r="D3362" t="inlineStr">
        <is>
          <t>SKÅNE LÄN</t>
        </is>
      </c>
      <c r="E3362" t="inlineStr">
        <is>
          <t>HÖÖR</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16663-2022</t>
        </is>
      </c>
      <c r="B3363" s="1" t="n">
        <v>44672</v>
      </c>
      <c r="C3363" s="1" t="n">
        <v>45962</v>
      </c>
      <c r="D3363" t="inlineStr">
        <is>
          <t>SKÅNE LÄN</t>
        </is>
      </c>
      <c r="E3363" t="inlineStr">
        <is>
          <t>HÖÖR</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30006-2023</t>
        </is>
      </c>
      <c r="B3364" s="1" t="n">
        <v>45109.79962962963</v>
      </c>
      <c r="C3364" s="1" t="n">
        <v>45962</v>
      </c>
      <c r="D3364" t="inlineStr">
        <is>
          <t>SKÅNE LÄN</t>
        </is>
      </c>
      <c r="E3364" t="inlineStr">
        <is>
          <t>HÄSSLEHOLM</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49167-2022</t>
        </is>
      </c>
      <c r="B3365" s="1" t="n">
        <v>44860</v>
      </c>
      <c r="C3365" s="1" t="n">
        <v>45962</v>
      </c>
      <c r="D3365" t="inlineStr">
        <is>
          <t>SKÅNE LÄN</t>
        </is>
      </c>
      <c r="E3365" t="inlineStr">
        <is>
          <t>HÄSSLEHOLM</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19137-2025</t>
        </is>
      </c>
      <c r="B3366" s="1" t="n">
        <v>45769</v>
      </c>
      <c r="C3366" s="1" t="n">
        <v>45962</v>
      </c>
      <c r="D3366" t="inlineStr">
        <is>
          <t>SKÅNE LÄN</t>
        </is>
      </c>
      <c r="E3366" t="inlineStr">
        <is>
          <t>SIMRISHAMN</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19141-2025</t>
        </is>
      </c>
      <c r="B3367" s="1" t="n">
        <v>45769</v>
      </c>
      <c r="C3367" s="1" t="n">
        <v>45962</v>
      </c>
      <c r="D3367" t="inlineStr">
        <is>
          <t>SKÅNE LÄN</t>
        </is>
      </c>
      <c r="E3367" t="inlineStr">
        <is>
          <t>SIMRISHAMN</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51207-2022</t>
        </is>
      </c>
      <c r="B3368" s="1" t="n">
        <v>44868</v>
      </c>
      <c r="C3368" s="1" t="n">
        <v>45962</v>
      </c>
      <c r="D3368" t="inlineStr">
        <is>
          <t>SKÅNE LÄN</t>
        </is>
      </c>
      <c r="E3368" t="inlineStr">
        <is>
          <t>PERSTORP</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35237-2023</t>
        </is>
      </c>
      <c r="B3369" s="1" t="n">
        <v>45145.74532407407</v>
      </c>
      <c r="C3369" s="1" t="n">
        <v>45962</v>
      </c>
      <c r="D3369" t="inlineStr">
        <is>
          <t>SKÅNE LÄN</t>
        </is>
      </c>
      <c r="E3369" t="inlineStr">
        <is>
          <t>HÄSSLEHOLM</t>
        </is>
      </c>
      <c r="G3369" t="n">
        <v>1.3</v>
      </c>
      <c r="H3369" t="n">
        <v>0</v>
      </c>
      <c r="I3369" t="n">
        <v>0</v>
      </c>
      <c r="J3369" t="n">
        <v>0</v>
      </c>
      <c r="K3369" t="n">
        <v>0</v>
      </c>
      <c r="L3369" t="n">
        <v>0</v>
      </c>
      <c r="M3369" t="n">
        <v>0</v>
      </c>
      <c r="N3369" t="n">
        <v>0</v>
      </c>
      <c r="O3369" t="n">
        <v>0</v>
      </c>
      <c r="P3369" t="n">
        <v>0</v>
      </c>
      <c r="Q3369" t="n">
        <v>0</v>
      </c>
      <c r="R3369" s="2" t="inlineStr"/>
    </row>
    <row r="3370" ht="15" customHeight="1">
      <c r="A3370" t="inlineStr">
        <is>
          <t>A 25249-2022</t>
        </is>
      </c>
      <c r="B3370" s="1" t="n">
        <v>44729</v>
      </c>
      <c r="C3370" s="1" t="n">
        <v>45962</v>
      </c>
      <c r="D3370" t="inlineStr">
        <is>
          <t>SKÅNE LÄN</t>
        </is>
      </c>
      <c r="E3370" t="inlineStr">
        <is>
          <t>KRISTIANSTAD</t>
        </is>
      </c>
      <c r="G3370" t="n">
        <v>2.9</v>
      </c>
      <c r="H3370" t="n">
        <v>0</v>
      </c>
      <c r="I3370" t="n">
        <v>0</v>
      </c>
      <c r="J3370" t="n">
        <v>0</v>
      </c>
      <c r="K3370" t="n">
        <v>0</v>
      </c>
      <c r="L3370" t="n">
        <v>0</v>
      </c>
      <c r="M3370" t="n">
        <v>0</v>
      </c>
      <c r="N3370" t="n">
        <v>0</v>
      </c>
      <c r="O3370" t="n">
        <v>0</v>
      </c>
      <c r="P3370" t="n">
        <v>0</v>
      </c>
      <c r="Q3370" t="n">
        <v>0</v>
      </c>
      <c r="R3370" s="2" t="inlineStr"/>
    </row>
    <row r="3371" ht="15" customHeight="1">
      <c r="A3371" t="inlineStr">
        <is>
          <t>A 52089-2022</t>
        </is>
      </c>
      <c r="B3371" s="1" t="n">
        <v>44873.38465277778</v>
      </c>
      <c r="C3371" s="1" t="n">
        <v>45962</v>
      </c>
      <c r="D3371" t="inlineStr">
        <is>
          <t>SKÅNE LÄN</t>
        </is>
      </c>
      <c r="E3371" t="inlineStr">
        <is>
          <t>OSBY</t>
        </is>
      </c>
      <c r="G3371" t="n">
        <v>2.8</v>
      </c>
      <c r="H3371" t="n">
        <v>0</v>
      </c>
      <c r="I3371" t="n">
        <v>0</v>
      </c>
      <c r="J3371" t="n">
        <v>0</v>
      </c>
      <c r="K3371" t="n">
        <v>0</v>
      </c>
      <c r="L3371" t="n">
        <v>0</v>
      </c>
      <c r="M3371" t="n">
        <v>0</v>
      </c>
      <c r="N3371" t="n">
        <v>0</v>
      </c>
      <c r="O3371" t="n">
        <v>0</v>
      </c>
      <c r="P3371" t="n">
        <v>0</v>
      </c>
      <c r="Q3371" t="n">
        <v>0</v>
      </c>
      <c r="R3371" s="2" t="inlineStr"/>
    </row>
    <row r="3372" ht="15" customHeight="1">
      <c r="A3372" t="inlineStr">
        <is>
          <t>A 15653-2024</t>
        </is>
      </c>
      <c r="B3372" s="1" t="n">
        <v>45404.3621875</v>
      </c>
      <c r="C3372" s="1" t="n">
        <v>45962</v>
      </c>
      <c r="D3372" t="inlineStr">
        <is>
          <t>SKÅNE LÄN</t>
        </is>
      </c>
      <c r="E3372" t="inlineStr">
        <is>
          <t>OSBY</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28253-2023</t>
        </is>
      </c>
      <c r="B3373" s="1" t="n">
        <v>45099</v>
      </c>
      <c r="C3373" s="1" t="n">
        <v>45962</v>
      </c>
      <c r="D3373" t="inlineStr">
        <is>
          <t>SKÅNE LÄN</t>
        </is>
      </c>
      <c r="E3373" t="inlineStr">
        <is>
          <t>ÄNGELHOLM</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1574-2024</t>
        </is>
      </c>
      <c r="B3374" s="1" t="n">
        <v>45306</v>
      </c>
      <c r="C3374" s="1" t="n">
        <v>45962</v>
      </c>
      <c r="D3374" t="inlineStr">
        <is>
          <t>SKÅNE LÄN</t>
        </is>
      </c>
      <c r="E3374" t="inlineStr">
        <is>
          <t>ESLÖV</t>
        </is>
      </c>
      <c r="G3374" t="n">
        <v>3.6</v>
      </c>
      <c r="H3374" t="n">
        <v>0</v>
      </c>
      <c r="I3374" t="n">
        <v>0</v>
      </c>
      <c r="J3374" t="n">
        <v>0</v>
      </c>
      <c r="K3374" t="n">
        <v>0</v>
      </c>
      <c r="L3374" t="n">
        <v>0</v>
      </c>
      <c r="M3374" t="n">
        <v>0</v>
      </c>
      <c r="N3374" t="n">
        <v>0</v>
      </c>
      <c r="O3374" t="n">
        <v>0</v>
      </c>
      <c r="P3374" t="n">
        <v>0</v>
      </c>
      <c r="Q3374" t="n">
        <v>0</v>
      </c>
      <c r="R3374" s="2" t="inlineStr"/>
    </row>
    <row r="3375" ht="15" customHeight="1">
      <c r="A3375" t="inlineStr">
        <is>
          <t>A 11491-2023</t>
        </is>
      </c>
      <c r="B3375" s="1" t="n">
        <v>44991</v>
      </c>
      <c r="C3375" s="1" t="n">
        <v>45962</v>
      </c>
      <c r="D3375" t="inlineStr">
        <is>
          <t>SKÅNE LÄN</t>
        </is>
      </c>
      <c r="E3375" t="inlineStr">
        <is>
          <t>SVALÖV</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11497-2023</t>
        </is>
      </c>
      <c r="B3376" s="1" t="n">
        <v>44991</v>
      </c>
      <c r="C3376" s="1" t="n">
        <v>45962</v>
      </c>
      <c r="D3376" t="inlineStr">
        <is>
          <t>SKÅNE LÄN</t>
        </is>
      </c>
      <c r="E3376" t="inlineStr">
        <is>
          <t>KLIPPAN</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6941-2024</t>
        </is>
      </c>
      <c r="B3377" s="1" t="n">
        <v>45343.41258101852</v>
      </c>
      <c r="C3377" s="1" t="n">
        <v>45962</v>
      </c>
      <c r="D3377" t="inlineStr">
        <is>
          <t>SKÅNE LÄN</t>
        </is>
      </c>
      <c r="E3377" t="inlineStr">
        <is>
          <t>HÖÖR</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6944-2024</t>
        </is>
      </c>
      <c r="B3378" s="1" t="n">
        <v>45343.42164351852</v>
      </c>
      <c r="C3378" s="1" t="n">
        <v>45962</v>
      </c>
      <c r="D3378" t="inlineStr">
        <is>
          <t>SKÅNE LÄN</t>
        </is>
      </c>
      <c r="E3378" t="inlineStr">
        <is>
          <t>HÖÖR</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50880-2022</t>
        </is>
      </c>
      <c r="B3379" s="1" t="n">
        <v>44867.57969907407</v>
      </c>
      <c r="C3379" s="1" t="n">
        <v>45962</v>
      </c>
      <c r="D3379" t="inlineStr">
        <is>
          <t>SKÅNE LÄN</t>
        </is>
      </c>
      <c r="E3379" t="inlineStr">
        <is>
          <t>OSBY</t>
        </is>
      </c>
      <c r="G3379" t="n">
        <v>5.5</v>
      </c>
      <c r="H3379" t="n">
        <v>0</v>
      </c>
      <c r="I3379" t="n">
        <v>0</v>
      </c>
      <c r="J3379" t="n">
        <v>0</v>
      </c>
      <c r="K3379" t="n">
        <v>0</v>
      </c>
      <c r="L3379" t="n">
        <v>0</v>
      </c>
      <c r="M3379" t="n">
        <v>0</v>
      </c>
      <c r="N3379" t="n">
        <v>0</v>
      </c>
      <c r="O3379" t="n">
        <v>0</v>
      </c>
      <c r="P3379" t="n">
        <v>0</v>
      </c>
      <c r="Q3379" t="n">
        <v>0</v>
      </c>
      <c r="R3379" s="2" t="inlineStr"/>
    </row>
    <row r="3380" ht="15" customHeight="1">
      <c r="A3380" t="inlineStr">
        <is>
          <t>A 15797-2022</t>
        </is>
      </c>
      <c r="B3380" s="1" t="n">
        <v>44663.88828703704</v>
      </c>
      <c r="C3380" s="1" t="n">
        <v>45962</v>
      </c>
      <c r="D3380" t="inlineStr">
        <is>
          <t>SKÅNE LÄN</t>
        </is>
      </c>
      <c r="E3380" t="inlineStr">
        <is>
          <t>OSBY</t>
        </is>
      </c>
      <c r="G3380" t="n">
        <v>3.1</v>
      </c>
      <c r="H3380" t="n">
        <v>0</v>
      </c>
      <c r="I3380" t="n">
        <v>0</v>
      </c>
      <c r="J3380" t="n">
        <v>0</v>
      </c>
      <c r="K3380" t="n">
        <v>0</v>
      </c>
      <c r="L3380" t="n">
        <v>0</v>
      </c>
      <c r="M3380" t="n">
        <v>0</v>
      </c>
      <c r="N3380" t="n">
        <v>0</v>
      </c>
      <c r="O3380" t="n">
        <v>0</v>
      </c>
      <c r="P3380" t="n">
        <v>0</v>
      </c>
      <c r="Q3380" t="n">
        <v>0</v>
      </c>
      <c r="R3380" s="2" t="inlineStr"/>
    </row>
    <row r="3381" ht="15" customHeight="1">
      <c r="A3381" t="inlineStr">
        <is>
          <t>A 46260-2024</t>
        </is>
      </c>
      <c r="B3381" s="1" t="n">
        <v>45581</v>
      </c>
      <c r="C3381" s="1" t="n">
        <v>45962</v>
      </c>
      <c r="D3381" t="inlineStr">
        <is>
          <t>SKÅNE LÄN</t>
        </is>
      </c>
      <c r="E3381" t="inlineStr">
        <is>
          <t>KLIPPAN</t>
        </is>
      </c>
      <c r="F3381" t="inlineStr">
        <is>
          <t>Sveaskog</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46286-2024</t>
        </is>
      </c>
      <c r="B3382" s="1" t="n">
        <v>45581</v>
      </c>
      <c r="C3382" s="1" t="n">
        <v>45962</v>
      </c>
      <c r="D3382" t="inlineStr">
        <is>
          <t>SKÅNE LÄN</t>
        </is>
      </c>
      <c r="E3382" t="inlineStr">
        <is>
          <t>ÄNGELHOLM</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57963-2023</t>
        </is>
      </c>
      <c r="B3383" s="1" t="n">
        <v>45247.57732638889</v>
      </c>
      <c r="C3383" s="1" t="n">
        <v>45962</v>
      </c>
      <c r="D3383" t="inlineStr">
        <is>
          <t>SKÅNE LÄN</t>
        </is>
      </c>
      <c r="E3383" t="inlineStr">
        <is>
          <t>HÄSSLEHOLM</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68508-2020</t>
        </is>
      </c>
      <c r="B3384" s="1" t="n">
        <v>44186</v>
      </c>
      <c r="C3384" s="1" t="n">
        <v>45962</v>
      </c>
      <c r="D3384" t="inlineStr">
        <is>
          <t>SKÅNE LÄN</t>
        </is>
      </c>
      <c r="E3384" t="inlineStr">
        <is>
          <t>ÖRKELLJUNGA</t>
        </is>
      </c>
      <c r="G3384" t="n">
        <v>7.4</v>
      </c>
      <c r="H3384" t="n">
        <v>0</v>
      </c>
      <c r="I3384" t="n">
        <v>0</v>
      </c>
      <c r="J3384" t="n">
        <v>0</v>
      </c>
      <c r="K3384" t="n">
        <v>0</v>
      </c>
      <c r="L3384" t="n">
        <v>0</v>
      </c>
      <c r="M3384" t="n">
        <v>0</v>
      </c>
      <c r="N3384" t="n">
        <v>0</v>
      </c>
      <c r="O3384" t="n">
        <v>0</v>
      </c>
      <c r="P3384" t="n">
        <v>0</v>
      </c>
      <c r="Q3384" t="n">
        <v>0</v>
      </c>
      <c r="R3384" s="2" t="inlineStr"/>
    </row>
    <row r="3385" ht="15" customHeight="1">
      <c r="A3385" t="inlineStr">
        <is>
          <t>A 35680-2023</t>
        </is>
      </c>
      <c r="B3385" s="1" t="n">
        <v>45147</v>
      </c>
      <c r="C3385" s="1" t="n">
        <v>45962</v>
      </c>
      <c r="D3385" t="inlineStr">
        <is>
          <t>SKÅNE LÄN</t>
        </is>
      </c>
      <c r="E3385" t="inlineStr">
        <is>
          <t>ÖSTRA GÖINGE</t>
        </is>
      </c>
      <c r="G3385" t="n">
        <v>15.4</v>
      </c>
      <c r="H3385" t="n">
        <v>0</v>
      </c>
      <c r="I3385" t="n">
        <v>0</v>
      </c>
      <c r="J3385" t="n">
        <v>0</v>
      </c>
      <c r="K3385" t="n">
        <v>0</v>
      </c>
      <c r="L3385" t="n">
        <v>0</v>
      </c>
      <c r="M3385" t="n">
        <v>0</v>
      </c>
      <c r="N3385" t="n">
        <v>0</v>
      </c>
      <c r="O3385" t="n">
        <v>0</v>
      </c>
      <c r="P3385" t="n">
        <v>0</v>
      </c>
      <c r="Q3385" t="n">
        <v>0</v>
      </c>
      <c r="R3385" s="2" t="inlineStr"/>
    </row>
    <row r="3386" ht="15" customHeight="1">
      <c r="A3386" t="inlineStr">
        <is>
          <t>A 3040-2024</t>
        </is>
      </c>
      <c r="B3386" s="1" t="n">
        <v>45316</v>
      </c>
      <c r="C3386" s="1" t="n">
        <v>45962</v>
      </c>
      <c r="D3386" t="inlineStr">
        <is>
          <t>SKÅNE LÄN</t>
        </is>
      </c>
      <c r="E3386" t="inlineStr">
        <is>
          <t>HÖRBY</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57033-2022</t>
        </is>
      </c>
      <c r="B3387" s="1" t="n">
        <v>44895.31270833333</v>
      </c>
      <c r="C3387" s="1" t="n">
        <v>45962</v>
      </c>
      <c r="D3387" t="inlineStr">
        <is>
          <t>SKÅNE LÄN</t>
        </is>
      </c>
      <c r="E3387" t="inlineStr">
        <is>
          <t>HÄSSLEHOLM</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2823-2023</t>
        </is>
      </c>
      <c r="B3388" s="1" t="n">
        <v>44945.01668981482</v>
      </c>
      <c r="C3388" s="1" t="n">
        <v>45962</v>
      </c>
      <c r="D3388" t="inlineStr">
        <is>
          <t>SKÅNE LÄN</t>
        </is>
      </c>
      <c r="E3388" t="inlineStr">
        <is>
          <t>OSBY</t>
        </is>
      </c>
      <c r="G3388" t="n">
        <v>0.6</v>
      </c>
      <c r="H3388" t="n">
        <v>0</v>
      </c>
      <c r="I3388" t="n">
        <v>0</v>
      </c>
      <c r="J3388" t="n">
        <v>0</v>
      </c>
      <c r="K3388" t="n">
        <v>0</v>
      </c>
      <c r="L3388" t="n">
        <v>0</v>
      </c>
      <c r="M3388" t="n">
        <v>0</v>
      </c>
      <c r="N3388" t="n">
        <v>0</v>
      </c>
      <c r="O3388" t="n">
        <v>0</v>
      </c>
      <c r="P3388" t="n">
        <v>0</v>
      </c>
      <c r="Q3388" t="n">
        <v>0</v>
      </c>
      <c r="R3388" s="2" t="inlineStr"/>
    </row>
    <row r="3389" ht="15" customHeight="1">
      <c r="A3389" t="inlineStr">
        <is>
          <t>A 27796-2025</t>
        </is>
      </c>
      <c r="B3389" s="1" t="n">
        <v>45816.79953703703</v>
      </c>
      <c r="C3389" s="1" t="n">
        <v>45962</v>
      </c>
      <c r="D3389" t="inlineStr">
        <is>
          <t>SKÅNE LÄN</t>
        </is>
      </c>
      <c r="E3389" t="inlineStr">
        <is>
          <t>ÖSTRA GÖINGE</t>
        </is>
      </c>
      <c r="G3389" t="n">
        <v>1.6</v>
      </c>
      <c r="H3389" t="n">
        <v>0</v>
      </c>
      <c r="I3389" t="n">
        <v>0</v>
      </c>
      <c r="J3389" t="n">
        <v>0</v>
      </c>
      <c r="K3389" t="n">
        <v>0</v>
      </c>
      <c r="L3389" t="n">
        <v>0</v>
      </c>
      <c r="M3389" t="n">
        <v>0</v>
      </c>
      <c r="N3389" t="n">
        <v>0</v>
      </c>
      <c r="O3389" t="n">
        <v>0</v>
      </c>
      <c r="P3389" t="n">
        <v>0</v>
      </c>
      <c r="Q3389" t="n">
        <v>0</v>
      </c>
      <c r="R3389" s="2" t="inlineStr"/>
    </row>
    <row r="3390" ht="15" customHeight="1">
      <c r="A3390" t="inlineStr">
        <is>
          <t>A 32008-2024</t>
        </is>
      </c>
      <c r="B3390" s="1" t="n">
        <v>45510</v>
      </c>
      <c r="C3390" s="1" t="n">
        <v>45962</v>
      </c>
      <c r="D3390" t="inlineStr">
        <is>
          <t>SKÅNE LÄN</t>
        </is>
      </c>
      <c r="E3390" t="inlineStr">
        <is>
          <t>HÄSSLEHOLM</t>
        </is>
      </c>
      <c r="G3390" t="n">
        <v>5.1</v>
      </c>
      <c r="H3390" t="n">
        <v>0</v>
      </c>
      <c r="I3390" t="n">
        <v>0</v>
      </c>
      <c r="J3390" t="n">
        <v>0</v>
      </c>
      <c r="K3390" t="n">
        <v>0</v>
      </c>
      <c r="L3390" t="n">
        <v>0</v>
      </c>
      <c r="M3390" t="n">
        <v>0</v>
      </c>
      <c r="N3390" t="n">
        <v>0</v>
      </c>
      <c r="O3390" t="n">
        <v>0</v>
      </c>
      <c r="P3390" t="n">
        <v>0</v>
      </c>
      <c r="Q3390" t="n">
        <v>0</v>
      </c>
      <c r="R3390" s="2" t="inlineStr"/>
    </row>
    <row r="3391" ht="15" customHeight="1">
      <c r="A3391" t="inlineStr">
        <is>
          <t>A 35845-2022</t>
        </is>
      </c>
      <c r="B3391" s="1" t="n">
        <v>44802</v>
      </c>
      <c r="C3391" s="1" t="n">
        <v>45962</v>
      </c>
      <c r="D3391" t="inlineStr">
        <is>
          <t>SKÅNE LÄN</t>
        </is>
      </c>
      <c r="E3391" t="inlineStr">
        <is>
          <t>HÄSSLEHOLM</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28240-2025</t>
        </is>
      </c>
      <c r="B3392" s="1" t="n">
        <v>45817</v>
      </c>
      <c r="C3392" s="1" t="n">
        <v>45962</v>
      </c>
      <c r="D3392" t="inlineStr">
        <is>
          <t>SKÅNE LÄN</t>
        </is>
      </c>
      <c r="E3392" t="inlineStr">
        <is>
          <t>HÄSSLEHOLM</t>
        </is>
      </c>
      <c r="G3392" t="n">
        <v>7.7</v>
      </c>
      <c r="H3392" t="n">
        <v>0</v>
      </c>
      <c r="I3392" t="n">
        <v>0</v>
      </c>
      <c r="J3392" t="n">
        <v>0</v>
      </c>
      <c r="K3392" t="n">
        <v>0</v>
      </c>
      <c r="L3392" t="n">
        <v>0</v>
      </c>
      <c r="M3392" t="n">
        <v>0</v>
      </c>
      <c r="N3392" t="n">
        <v>0</v>
      </c>
      <c r="O3392" t="n">
        <v>0</v>
      </c>
      <c r="P3392" t="n">
        <v>0</v>
      </c>
      <c r="Q3392" t="n">
        <v>0</v>
      </c>
      <c r="R3392" s="2" t="inlineStr"/>
    </row>
    <row r="3393" ht="15" customHeight="1">
      <c r="A3393" t="inlineStr">
        <is>
          <t>A 46606-2023</t>
        </is>
      </c>
      <c r="B3393" s="1" t="n">
        <v>45194</v>
      </c>
      <c r="C3393" s="1" t="n">
        <v>45962</v>
      </c>
      <c r="D3393" t="inlineStr">
        <is>
          <t>SKÅNE LÄN</t>
        </is>
      </c>
      <c r="E3393" t="inlineStr">
        <is>
          <t>ÖSTRA GÖINGE</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11633-2024</t>
        </is>
      </c>
      <c r="B3394" s="1" t="n">
        <v>45373.4740625</v>
      </c>
      <c r="C3394" s="1" t="n">
        <v>45962</v>
      </c>
      <c r="D3394" t="inlineStr">
        <is>
          <t>SKÅNE LÄN</t>
        </is>
      </c>
      <c r="E3394" t="inlineStr">
        <is>
          <t>SVALÖV</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46625-2023</t>
        </is>
      </c>
      <c r="B3395" s="1" t="n">
        <v>45194</v>
      </c>
      <c r="C3395" s="1" t="n">
        <v>45962</v>
      </c>
      <c r="D3395" t="inlineStr">
        <is>
          <t>SKÅNE LÄN</t>
        </is>
      </c>
      <c r="E3395" t="inlineStr">
        <is>
          <t>ÖSTRA GÖINGE</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27940-2025</t>
        </is>
      </c>
      <c r="B3396" s="1" t="n">
        <v>45817.50439814815</v>
      </c>
      <c r="C3396" s="1" t="n">
        <v>45962</v>
      </c>
      <c r="D3396" t="inlineStr">
        <is>
          <t>SKÅNE LÄN</t>
        </is>
      </c>
      <c r="E3396" t="inlineStr">
        <is>
          <t>HÄSSLEHOLM</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27934-2025</t>
        </is>
      </c>
      <c r="B3397" s="1" t="n">
        <v>45817.49761574074</v>
      </c>
      <c r="C3397" s="1" t="n">
        <v>45962</v>
      </c>
      <c r="D3397" t="inlineStr">
        <is>
          <t>SKÅNE LÄN</t>
        </is>
      </c>
      <c r="E3397" t="inlineStr">
        <is>
          <t>HÄSSLEHOLM</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27828-2025</t>
        </is>
      </c>
      <c r="B3398" s="1" t="n">
        <v>45817</v>
      </c>
      <c r="C3398" s="1" t="n">
        <v>45962</v>
      </c>
      <c r="D3398" t="inlineStr">
        <is>
          <t>SKÅNE LÄN</t>
        </is>
      </c>
      <c r="E3398" t="inlineStr">
        <is>
          <t>HÖÖR</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38928-2024</t>
        </is>
      </c>
      <c r="B3399" s="1" t="n">
        <v>45548</v>
      </c>
      <c r="C3399" s="1" t="n">
        <v>45962</v>
      </c>
      <c r="D3399" t="inlineStr">
        <is>
          <t>SKÅNE LÄN</t>
        </is>
      </c>
      <c r="E3399" t="inlineStr">
        <is>
          <t>ÖRKELLJUNGA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39650-2023</t>
        </is>
      </c>
      <c r="B3400" s="1" t="n">
        <v>45167.55505787037</v>
      </c>
      <c r="C3400" s="1" t="n">
        <v>45962</v>
      </c>
      <c r="D3400" t="inlineStr">
        <is>
          <t>SKÅNE LÄN</t>
        </is>
      </c>
      <c r="E3400" t="inlineStr">
        <is>
          <t>ÖRKELLJUNGA</t>
        </is>
      </c>
      <c r="G3400" t="n">
        <v>3.2</v>
      </c>
      <c r="H3400" t="n">
        <v>0</v>
      </c>
      <c r="I3400" t="n">
        <v>0</v>
      </c>
      <c r="J3400" t="n">
        <v>0</v>
      </c>
      <c r="K3400" t="n">
        <v>0</v>
      </c>
      <c r="L3400" t="n">
        <v>0</v>
      </c>
      <c r="M3400" t="n">
        <v>0</v>
      </c>
      <c r="N3400" t="n">
        <v>0</v>
      </c>
      <c r="O3400" t="n">
        <v>0</v>
      </c>
      <c r="P3400" t="n">
        <v>0</v>
      </c>
      <c r="Q3400" t="n">
        <v>0</v>
      </c>
      <c r="R3400" s="2" t="inlineStr"/>
    </row>
    <row r="3401" ht="15" customHeight="1">
      <c r="A3401" t="inlineStr">
        <is>
          <t>A 23798-2024</t>
        </is>
      </c>
      <c r="B3401" s="1" t="n">
        <v>45455.43208333333</v>
      </c>
      <c r="C3401" s="1" t="n">
        <v>45962</v>
      </c>
      <c r="D3401" t="inlineStr">
        <is>
          <t>SKÅNE LÄN</t>
        </is>
      </c>
      <c r="E3401" t="inlineStr">
        <is>
          <t>ÅSTORP</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1466-2022</t>
        </is>
      </c>
      <c r="B3402" s="1" t="n">
        <v>44573.49446759259</v>
      </c>
      <c r="C3402" s="1" t="n">
        <v>45962</v>
      </c>
      <c r="D3402" t="inlineStr">
        <is>
          <t>SKÅNE LÄN</t>
        </is>
      </c>
      <c r="E3402" t="inlineStr">
        <is>
          <t>OSBY</t>
        </is>
      </c>
      <c r="F3402" t="inlineStr">
        <is>
          <t>Kyrkan</t>
        </is>
      </c>
      <c r="G3402" t="n">
        <v>0</v>
      </c>
      <c r="H3402" t="n">
        <v>0</v>
      </c>
      <c r="I3402" t="n">
        <v>0</v>
      </c>
      <c r="J3402" t="n">
        <v>0</v>
      </c>
      <c r="K3402" t="n">
        <v>0</v>
      </c>
      <c r="L3402" t="n">
        <v>0</v>
      </c>
      <c r="M3402" t="n">
        <v>0</v>
      </c>
      <c r="N3402" t="n">
        <v>0</v>
      </c>
      <c r="O3402" t="n">
        <v>0</v>
      </c>
      <c r="P3402" t="n">
        <v>0</v>
      </c>
      <c r="Q3402" t="n">
        <v>0</v>
      </c>
      <c r="R3402" s="2" t="inlineStr"/>
    </row>
    <row r="3403" ht="15" customHeight="1">
      <c r="A3403" t="inlineStr">
        <is>
          <t>A 1607-2022</t>
        </is>
      </c>
      <c r="B3403" s="1" t="n">
        <v>44573</v>
      </c>
      <c r="C3403" s="1" t="n">
        <v>45962</v>
      </c>
      <c r="D3403" t="inlineStr">
        <is>
          <t>SKÅNE LÄN</t>
        </is>
      </c>
      <c r="E3403" t="inlineStr">
        <is>
          <t>OSBY</t>
        </is>
      </c>
      <c r="F3403" t="inlineStr">
        <is>
          <t>Kyrkan</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28251-2025</t>
        </is>
      </c>
      <c r="B3404" s="1" t="n">
        <v>45817</v>
      </c>
      <c r="C3404" s="1" t="n">
        <v>45962</v>
      </c>
      <c r="D3404" t="inlineStr">
        <is>
          <t>SKÅNE LÄN</t>
        </is>
      </c>
      <c r="E3404" t="inlineStr">
        <is>
          <t>HÄSSLEHOLM</t>
        </is>
      </c>
      <c r="G3404" t="n">
        <v>7.2</v>
      </c>
      <c r="H3404" t="n">
        <v>0</v>
      </c>
      <c r="I3404" t="n">
        <v>0</v>
      </c>
      <c r="J3404" t="n">
        <v>0</v>
      </c>
      <c r="K3404" t="n">
        <v>0</v>
      </c>
      <c r="L3404" t="n">
        <v>0</v>
      </c>
      <c r="M3404" t="n">
        <v>0</v>
      </c>
      <c r="N3404" t="n">
        <v>0</v>
      </c>
      <c r="O3404" t="n">
        <v>0</v>
      </c>
      <c r="P3404" t="n">
        <v>0</v>
      </c>
      <c r="Q3404" t="n">
        <v>0</v>
      </c>
      <c r="R3404" s="2" t="inlineStr"/>
    </row>
    <row r="3405" ht="15" customHeight="1">
      <c r="A3405" t="inlineStr">
        <is>
          <t>A 59528-2022</t>
        </is>
      </c>
      <c r="B3405" s="1" t="n">
        <v>44907</v>
      </c>
      <c r="C3405" s="1" t="n">
        <v>45962</v>
      </c>
      <c r="D3405" t="inlineStr">
        <is>
          <t>SKÅNE LÄN</t>
        </is>
      </c>
      <c r="E3405" t="inlineStr">
        <is>
          <t>TOMELILLA</t>
        </is>
      </c>
      <c r="F3405" t="inlineStr">
        <is>
          <t>Övriga Aktiebolag</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31374-2022</t>
        </is>
      </c>
      <c r="B3406" s="1" t="n">
        <v>44774</v>
      </c>
      <c r="C3406" s="1" t="n">
        <v>45962</v>
      </c>
      <c r="D3406" t="inlineStr">
        <is>
          <t>SKÅNE LÄN</t>
        </is>
      </c>
      <c r="E3406" t="inlineStr">
        <is>
          <t>KRISTIANSTAD</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14994-2022</t>
        </is>
      </c>
      <c r="B3407" s="1" t="n">
        <v>44657.53449074074</v>
      </c>
      <c r="C3407" s="1" t="n">
        <v>45962</v>
      </c>
      <c r="D3407" t="inlineStr">
        <is>
          <t>SKÅNE LÄN</t>
        </is>
      </c>
      <c r="E3407" t="inlineStr">
        <is>
          <t>SIMRISHAMN</t>
        </is>
      </c>
      <c r="F3407" t="inlineStr">
        <is>
          <t>Övriga Aktiebolag</t>
        </is>
      </c>
      <c r="G3407" t="n">
        <v>4.4</v>
      </c>
      <c r="H3407" t="n">
        <v>0</v>
      </c>
      <c r="I3407" t="n">
        <v>0</v>
      </c>
      <c r="J3407" t="n">
        <v>0</v>
      </c>
      <c r="K3407" t="n">
        <v>0</v>
      </c>
      <c r="L3407" t="n">
        <v>0</v>
      </c>
      <c r="M3407" t="n">
        <v>0</v>
      </c>
      <c r="N3407" t="n">
        <v>0</v>
      </c>
      <c r="O3407" t="n">
        <v>0</v>
      </c>
      <c r="P3407" t="n">
        <v>0</v>
      </c>
      <c r="Q3407" t="n">
        <v>0</v>
      </c>
      <c r="R3407" s="2" t="inlineStr"/>
    </row>
    <row r="3408" ht="15" customHeight="1">
      <c r="A3408" t="inlineStr">
        <is>
          <t>A 64905-2023</t>
        </is>
      </c>
      <c r="B3408" s="1" t="n">
        <v>45282</v>
      </c>
      <c r="C3408" s="1" t="n">
        <v>45962</v>
      </c>
      <c r="D3408" t="inlineStr">
        <is>
          <t>SKÅNE LÄN</t>
        </is>
      </c>
      <c r="E3408" t="inlineStr">
        <is>
          <t>SJÖBO</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28122-2025</t>
        </is>
      </c>
      <c r="B3409" s="1" t="n">
        <v>45817</v>
      </c>
      <c r="C3409" s="1" t="n">
        <v>45962</v>
      </c>
      <c r="D3409" t="inlineStr">
        <is>
          <t>SKÅNE LÄN</t>
        </is>
      </c>
      <c r="E3409" t="inlineStr">
        <is>
          <t>HÄSSLEHOLM</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28093-2025</t>
        </is>
      </c>
      <c r="B3410" s="1" t="n">
        <v>45817</v>
      </c>
      <c r="C3410" s="1" t="n">
        <v>45962</v>
      </c>
      <c r="D3410" t="inlineStr">
        <is>
          <t>SKÅNE LÄN</t>
        </is>
      </c>
      <c r="E3410" t="inlineStr">
        <is>
          <t>ESLÖV</t>
        </is>
      </c>
      <c r="G3410" t="n">
        <v>10.2</v>
      </c>
      <c r="H3410" t="n">
        <v>0</v>
      </c>
      <c r="I3410" t="n">
        <v>0</v>
      </c>
      <c r="J3410" t="n">
        <v>0</v>
      </c>
      <c r="K3410" t="n">
        <v>0</v>
      </c>
      <c r="L3410" t="n">
        <v>0</v>
      </c>
      <c r="M3410" t="n">
        <v>0</v>
      </c>
      <c r="N3410" t="n">
        <v>0</v>
      </c>
      <c r="O3410" t="n">
        <v>0</v>
      </c>
      <c r="P3410" t="n">
        <v>0</v>
      </c>
      <c r="Q3410" t="n">
        <v>0</v>
      </c>
      <c r="R3410" s="2" t="inlineStr"/>
    </row>
    <row r="3411" ht="15" customHeight="1">
      <c r="A3411" t="inlineStr">
        <is>
          <t>A 28097-2025</t>
        </is>
      </c>
      <c r="B3411" s="1" t="n">
        <v>45817</v>
      </c>
      <c r="C3411" s="1" t="n">
        <v>45962</v>
      </c>
      <c r="D3411" t="inlineStr">
        <is>
          <t>SKÅNE LÄN</t>
        </is>
      </c>
      <c r="E3411" t="inlineStr">
        <is>
          <t>PERSTORP</t>
        </is>
      </c>
      <c r="G3411" t="n">
        <v>6.4</v>
      </c>
      <c r="H3411" t="n">
        <v>0</v>
      </c>
      <c r="I3411" t="n">
        <v>0</v>
      </c>
      <c r="J3411" t="n">
        <v>0</v>
      </c>
      <c r="K3411" t="n">
        <v>0</v>
      </c>
      <c r="L3411" t="n">
        <v>0</v>
      </c>
      <c r="M3411" t="n">
        <v>0</v>
      </c>
      <c r="N3411" t="n">
        <v>0</v>
      </c>
      <c r="O3411" t="n">
        <v>0</v>
      </c>
      <c r="P3411" t="n">
        <v>0</v>
      </c>
      <c r="Q3411" t="n">
        <v>0</v>
      </c>
      <c r="R3411" s="2" t="inlineStr"/>
    </row>
    <row r="3412" ht="15" customHeight="1">
      <c r="A3412" t="inlineStr">
        <is>
          <t>A 872-2025</t>
        </is>
      </c>
      <c r="B3412" s="1" t="n">
        <v>45665.6306712963</v>
      </c>
      <c r="C3412" s="1" t="n">
        <v>45962</v>
      </c>
      <c r="D3412" t="inlineStr">
        <is>
          <t>SKÅNE LÄN</t>
        </is>
      </c>
      <c r="E3412" t="inlineStr">
        <is>
          <t>OSBY</t>
        </is>
      </c>
      <c r="F3412" t="inlineStr">
        <is>
          <t>Sveaskog</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21488-2023</t>
        </is>
      </c>
      <c r="B3413" s="1" t="n">
        <v>45061</v>
      </c>
      <c r="C3413" s="1" t="n">
        <v>45962</v>
      </c>
      <c r="D3413" t="inlineStr">
        <is>
          <t>SKÅNE LÄN</t>
        </is>
      </c>
      <c r="E3413" t="inlineStr">
        <is>
          <t>ÄNGELHOLM</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21524-2023</t>
        </is>
      </c>
      <c r="B3414" s="1" t="n">
        <v>45063</v>
      </c>
      <c r="C3414" s="1" t="n">
        <v>45962</v>
      </c>
      <c r="D3414" t="inlineStr">
        <is>
          <t>SKÅNE LÄN</t>
        </is>
      </c>
      <c r="E3414" t="inlineStr">
        <is>
          <t>OSBY</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22140-2023</t>
        </is>
      </c>
      <c r="B3415" s="1" t="n">
        <v>45065</v>
      </c>
      <c r="C3415" s="1" t="n">
        <v>45962</v>
      </c>
      <c r="D3415" t="inlineStr">
        <is>
          <t>SKÅNE LÄN</t>
        </is>
      </c>
      <c r="E3415" t="inlineStr">
        <is>
          <t>HÄSSLEHOLM</t>
        </is>
      </c>
      <c r="G3415" t="n">
        <v>6.7</v>
      </c>
      <c r="H3415" t="n">
        <v>0</v>
      </c>
      <c r="I3415" t="n">
        <v>0</v>
      </c>
      <c r="J3415" t="n">
        <v>0</v>
      </c>
      <c r="K3415" t="n">
        <v>0</v>
      </c>
      <c r="L3415" t="n">
        <v>0</v>
      </c>
      <c r="M3415" t="n">
        <v>0</v>
      </c>
      <c r="N3415" t="n">
        <v>0</v>
      </c>
      <c r="O3415" t="n">
        <v>0</v>
      </c>
      <c r="P3415" t="n">
        <v>0</v>
      </c>
      <c r="Q3415" t="n">
        <v>0</v>
      </c>
      <c r="R3415" s="2" t="inlineStr"/>
    </row>
    <row r="3416" ht="15" customHeight="1">
      <c r="A3416" t="inlineStr">
        <is>
          <t>A 21208-2023</t>
        </is>
      </c>
      <c r="B3416" s="1" t="n">
        <v>45062.50630787037</v>
      </c>
      <c r="C3416" s="1" t="n">
        <v>45962</v>
      </c>
      <c r="D3416" t="inlineStr">
        <is>
          <t>SKÅNE LÄN</t>
        </is>
      </c>
      <c r="E3416" t="inlineStr">
        <is>
          <t>PERSTORP</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15478-2025</t>
        </is>
      </c>
      <c r="B3417" s="1" t="n">
        <v>45747.5475</v>
      </c>
      <c r="C3417" s="1" t="n">
        <v>45962</v>
      </c>
      <c r="D3417" t="inlineStr">
        <is>
          <t>SKÅNE LÄN</t>
        </is>
      </c>
      <c r="E3417" t="inlineStr">
        <is>
          <t>ÖRKELLJUNGA</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27898-2025</t>
        </is>
      </c>
      <c r="B3418" s="1" t="n">
        <v>45817</v>
      </c>
      <c r="C3418" s="1" t="n">
        <v>45962</v>
      </c>
      <c r="D3418" t="inlineStr">
        <is>
          <t>SKÅNE LÄN</t>
        </is>
      </c>
      <c r="E3418" t="inlineStr">
        <is>
          <t>KLIPPAN</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55544-2022</t>
        </is>
      </c>
      <c r="B3419" s="1" t="n">
        <v>44887</v>
      </c>
      <c r="C3419" s="1" t="n">
        <v>45962</v>
      </c>
      <c r="D3419" t="inlineStr">
        <is>
          <t>SKÅNE LÄN</t>
        </is>
      </c>
      <c r="E3419" t="inlineStr">
        <is>
          <t>ÄNGELHOLM</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30673-2023</t>
        </is>
      </c>
      <c r="B3420" s="1" t="n">
        <v>45112</v>
      </c>
      <c r="C3420" s="1" t="n">
        <v>45962</v>
      </c>
      <c r="D3420" t="inlineStr">
        <is>
          <t>SKÅNE LÄN</t>
        </is>
      </c>
      <c r="E3420" t="inlineStr">
        <is>
          <t>TOMELILLA</t>
        </is>
      </c>
      <c r="F3420" t="inlineStr">
        <is>
          <t>Övriga Aktiebolag</t>
        </is>
      </c>
      <c r="G3420" t="n">
        <v>2.4</v>
      </c>
      <c r="H3420" t="n">
        <v>0</v>
      </c>
      <c r="I3420" t="n">
        <v>0</v>
      </c>
      <c r="J3420" t="n">
        <v>0</v>
      </c>
      <c r="K3420" t="n">
        <v>0</v>
      </c>
      <c r="L3420" t="n">
        <v>0</v>
      </c>
      <c r="M3420" t="n">
        <v>0</v>
      </c>
      <c r="N3420" t="n">
        <v>0</v>
      </c>
      <c r="O3420" t="n">
        <v>0</v>
      </c>
      <c r="P3420" t="n">
        <v>0</v>
      </c>
      <c r="Q3420" t="n">
        <v>0</v>
      </c>
      <c r="R3420" s="2" t="inlineStr"/>
    </row>
    <row r="3421" ht="15" customHeight="1">
      <c r="A3421" t="inlineStr">
        <is>
          <t>A 27887-2025</t>
        </is>
      </c>
      <c r="B3421" s="1" t="n">
        <v>45817.45994212963</v>
      </c>
      <c r="C3421" s="1" t="n">
        <v>45962</v>
      </c>
      <c r="D3421" t="inlineStr">
        <is>
          <t>SKÅNE LÄN</t>
        </is>
      </c>
      <c r="E3421" t="inlineStr">
        <is>
          <t>HÄSSLEHOLM</t>
        </is>
      </c>
      <c r="G3421" t="n">
        <v>4.8</v>
      </c>
      <c r="H3421" t="n">
        <v>0</v>
      </c>
      <c r="I3421" t="n">
        <v>0</v>
      </c>
      <c r="J3421" t="n">
        <v>0</v>
      </c>
      <c r="K3421" t="n">
        <v>0</v>
      </c>
      <c r="L3421" t="n">
        <v>0</v>
      </c>
      <c r="M3421" t="n">
        <v>0</v>
      </c>
      <c r="N3421" t="n">
        <v>0</v>
      </c>
      <c r="O3421" t="n">
        <v>0</v>
      </c>
      <c r="P3421" t="n">
        <v>0</v>
      </c>
      <c r="Q3421" t="n">
        <v>0</v>
      </c>
      <c r="R3421" s="2" t="inlineStr"/>
    </row>
    <row r="3422" ht="15" customHeight="1">
      <c r="A3422" t="inlineStr">
        <is>
          <t>A 27988-2025</t>
        </is>
      </c>
      <c r="B3422" s="1" t="n">
        <v>45817.58586805555</v>
      </c>
      <c r="C3422" s="1" t="n">
        <v>45962</v>
      </c>
      <c r="D3422" t="inlineStr">
        <is>
          <t>SKÅNE LÄN</t>
        </is>
      </c>
      <c r="E3422" t="inlineStr">
        <is>
          <t>ÖRKELLJUNGA</t>
        </is>
      </c>
      <c r="G3422" t="n">
        <v>11.8</v>
      </c>
      <c r="H3422" t="n">
        <v>0</v>
      </c>
      <c r="I3422" t="n">
        <v>0</v>
      </c>
      <c r="J3422" t="n">
        <v>0</v>
      </c>
      <c r="K3422" t="n">
        <v>0</v>
      </c>
      <c r="L3422" t="n">
        <v>0</v>
      </c>
      <c r="M3422" t="n">
        <v>0</v>
      </c>
      <c r="N3422" t="n">
        <v>0</v>
      </c>
      <c r="O3422" t="n">
        <v>0</v>
      </c>
      <c r="P3422" t="n">
        <v>0</v>
      </c>
      <c r="Q3422" t="n">
        <v>0</v>
      </c>
      <c r="R3422" s="2" t="inlineStr"/>
    </row>
    <row r="3423" ht="15" customHeight="1">
      <c r="A3423" t="inlineStr">
        <is>
          <t>A 7653-2024</t>
        </is>
      </c>
      <c r="B3423" s="1" t="n">
        <v>45348.69043981482</v>
      </c>
      <c r="C3423" s="1" t="n">
        <v>45962</v>
      </c>
      <c r="D3423" t="inlineStr">
        <is>
          <t>SKÅNE LÄN</t>
        </is>
      </c>
      <c r="E3423" t="inlineStr">
        <is>
          <t>HÄSSLEHOLM</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7707-2024</t>
        </is>
      </c>
      <c r="B3424" s="1" t="n">
        <v>45349.35894675926</v>
      </c>
      <c r="C3424" s="1" t="n">
        <v>45962</v>
      </c>
      <c r="D3424" t="inlineStr">
        <is>
          <t>SKÅNE LÄN</t>
        </is>
      </c>
      <c r="E3424" t="inlineStr">
        <is>
          <t>ÖRKELLJUNGA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59328-2023</t>
        </is>
      </c>
      <c r="B3425" s="1" t="n">
        <v>45252</v>
      </c>
      <c r="C3425" s="1" t="n">
        <v>45962</v>
      </c>
      <c r="D3425" t="inlineStr">
        <is>
          <t>SKÅNE LÄN</t>
        </is>
      </c>
      <c r="E3425" t="inlineStr">
        <is>
          <t>ÖSTRA GÖINGE</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635-2023</t>
        </is>
      </c>
      <c r="B3426" s="1" t="n">
        <v>44930</v>
      </c>
      <c r="C3426" s="1" t="n">
        <v>45962</v>
      </c>
      <c r="D3426" t="inlineStr">
        <is>
          <t>SKÅNE LÄN</t>
        </is>
      </c>
      <c r="E3426" t="inlineStr">
        <is>
          <t>BÅSTAD</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57967-2023</t>
        </is>
      </c>
      <c r="B3427" s="1" t="n">
        <v>45247.57984953704</v>
      </c>
      <c r="C3427" s="1" t="n">
        <v>45962</v>
      </c>
      <c r="D3427" t="inlineStr">
        <is>
          <t>SKÅNE LÄN</t>
        </is>
      </c>
      <c r="E3427" t="inlineStr">
        <is>
          <t>HÄSSLEHOLM</t>
        </is>
      </c>
      <c r="G3427" t="n">
        <v>8.6</v>
      </c>
      <c r="H3427" t="n">
        <v>0</v>
      </c>
      <c r="I3427" t="n">
        <v>0</v>
      </c>
      <c r="J3427" t="n">
        <v>0</v>
      </c>
      <c r="K3427" t="n">
        <v>0</v>
      </c>
      <c r="L3427" t="n">
        <v>0</v>
      </c>
      <c r="M3427" t="n">
        <v>0</v>
      </c>
      <c r="N3427" t="n">
        <v>0</v>
      </c>
      <c r="O3427" t="n">
        <v>0</v>
      </c>
      <c r="P3427" t="n">
        <v>0</v>
      </c>
      <c r="Q3427" t="n">
        <v>0</v>
      </c>
      <c r="R3427" s="2" t="inlineStr"/>
    </row>
    <row r="3428" ht="15" customHeight="1">
      <c r="A3428" t="inlineStr">
        <is>
          <t>A 59482-2024</t>
        </is>
      </c>
      <c r="B3428" s="1" t="n">
        <v>45638.52831018518</v>
      </c>
      <c r="C3428" s="1" t="n">
        <v>45962</v>
      </c>
      <c r="D3428" t="inlineStr">
        <is>
          <t>SKÅNE LÄN</t>
        </is>
      </c>
      <c r="E3428" t="inlineStr">
        <is>
          <t>KLIPPAN</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3992-2022</t>
        </is>
      </c>
      <c r="B3429" s="1" t="n">
        <v>44587</v>
      </c>
      <c r="C3429" s="1" t="n">
        <v>45962</v>
      </c>
      <c r="D3429" t="inlineStr">
        <is>
          <t>SKÅNE LÄN</t>
        </is>
      </c>
      <c r="E3429" t="inlineStr">
        <is>
          <t>HÄSSLEHOLM</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42658-2021</t>
        </is>
      </c>
      <c r="B3430" s="1" t="n">
        <v>44428</v>
      </c>
      <c r="C3430" s="1" t="n">
        <v>45962</v>
      </c>
      <c r="D3430" t="inlineStr">
        <is>
          <t>SKÅNE LÄN</t>
        </is>
      </c>
      <c r="E3430" t="inlineStr">
        <is>
          <t>KRISTIANSTAD</t>
        </is>
      </c>
      <c r="G3430" t="n">
        <v>9.699999999999999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57987-2023</t>
        </is>
      </c>
      <c r="B3431" s="1" t="n">
        <v>45247</v>
      </c>
      <c r="C3431" s="1" t="n">
        <v>45962</v>
      </c>
      <c r="D3431" t="inlineStr">
        <is>
          <t>SKÅNE LÄN</t>
        </is>
      </c>
      <c r="E3431" t="inlineStr">
        <is>
          <t>KRISTIANSTAD</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24679-2023</t>
        </is>
      </c>
      <c r="B3432" s="1" t="n">
        <v>45084</v>
      </c>
      <c r="C3432" s="1" t="n">
        <v>45962</v>
      </c>
      <c r="D3432" t="inlineStr">
        <is>
          <t>SKÅNE LÄN</t>
        </is>
      </c>
      <c r="E3432" t="inlineStr">
        <is>
          <t>HÄSSLEHOLM</t>
        </is>
      </c>
      <c r="G3432" t="n">
        <v>7.1</v>
      </c>
      <c r="H3432" t="n">
        <v>0</v>
      </c>
      <c r="I3432" t="n">
        <v>0</v>
      </c>
      <c r="J3432" t="n">
        <v>0</v>
      </c>
      <c r="K3432" t="n">
        <v>0</v>
      </c>
      <c r="L3432" t="n">
        <v>0</v>
      </c>
      <c r="M3432" t="n">
        <v>0</v>
      </c>
      <c r="N3432" t="n">
        <v>0</v>
      </c>
      <c r="O3432" t="n">
        <v>0</v>
      </c>
      <c r="P3432" t="n">
        <v>0</v>
      </c>
      <c r="Q3432" t="n">
        <v>0</v>
      </c>
      <c r="R3432" s="2" t="inlineStr"/>
    </row>
    <row r="3433" ht="15" customHeight="1">
      <c r="A3433" t="inlineStr">
        <is>
          <t>A 27010-2023</t>
        </is>
      </c>
      <c r="B3433" s="1" t="n">
        <v>45094.36791666667</v>
      </c>
      <c r="C3433" s="1" t="n">
        <v>45962</v>
      </c>
      <c r="D3433" t="inlineStr">
        <is>
          <t>SKÅNE LÄN</t>
        </is>
      </c>
      <c r="E3433" t="inlineStr">
        <is>
          <t>KLIPPAN</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62114-2024</t>
        </is>
      </c>
      <c r="B3434" s="1" t="n">
        <v>45656.54815972222</v>
      </c>
      <c r="C3434" s="1" t="n">
        <v>45962</v>
      </c>
      <c r="D3434" t="inlineStr">
        <is>
          <t>SKÅNE LÄN</t>
        </is>
      </c>
      <c r="E3434" t="inlineStr">
        <is>
          <t>OSBY</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28751-2024</t>
        </is>
      </c>
      <c r="B3435" s="1" t="n">
        <v>45478.57881944445</v>
      </c>
      <c r="C3435" s="1" t="n">
        <v>45962</v>
      </c>
      <c r="D3435" t="inlineStr">
        <is>
          <t>SKÅNE LÄN</t>
        </is>
      </c>
      <c r="E3435" t="inlineStr">
        <is>
          <t>PERSTORP</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63268-2023</t>
        </is>
      </c>
      <c r="B3436" s="1" t="n">
        <v>45273.75299768519</v>
      </c>
      <c r="C3436" s="1" t="n">
        <v>45962</v>
      </c>
      <c r="D3436" t="inlineStr">
        <is>
          <t>SKÅNE LÄN</t>
        </is>
      </c>
      <c r="E3436" t="inlineStr">
        <is>
          <t>HÖÖR</t>
        </is>
      </c>
      <c r="G3436" t="n">
        <v>0.5</v>
      </c>
      <c r="H3436" t="n">
        <v>0</v>
      </c>
      <c r="I3436" t="n">
        <v>0</v>
      </c>
      <c r="J3436" t="n">
        <v>0</v>
      </c>
      <c r="K3436" t="n">
        <v>0</v>
      </c>
      <c r="L3436" t="n">
        <v>0</v>
      </c>
      <c r="M3436" t="n">
        <v>0</v>
      </c>
      <c r="N3436" t="n">
        <v>0</v>
      </c>
      <c r="O3436" t="n">
        <v>0</v>
      </c>
      <c r="P3436" t="n">
        <v>0</v>
      </c>
      <c r="Q3436" t="n">
        <v>0</v>
      </c>
      <c r="R3436" s="2" t="inlineStr"/>
    </row>
    <row r="3437" ht="15" customHeight="1">
      <c r="A3437" t="inlineStr">
        <is>
          <t>A 63297-2023</t>
        </is>
      </c>
      <c r="B3437" s="1" t="n">
        <v>45273.96774305555</v>
      </c>
      <c r="C3437" s="1" t="n">
        <v>45962</v>
      </c>
      <c r="D3437" t="inlineStr">
        <is>
          <t>SKÅNE LÄN</t>
        </is>
      </c>
      <c r="E3437" t="inlineStr">
        <is>
          <t>OSBY</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35527-2025</t>
        </is>
      </c>
      <c r="B3438" s="1" t="n">
        <v>45856</v>
      </c>
      <c r="C3438" s="1" t="n">
        <v>45962</v>
      </c>
      <c r="D3438" t="inlineStr">
        <is>
          <t>SKÅNE LÄN</t>
        </is>
      </c>
      <c r="E3438" t="inlineStr">
        <is>
          <t>ÖSTRA GÖINGE</t>
        </is>
      </c>
      <c r="G3438" t="n">
        <v>11.9</v>
      </c>
      <c r="H3438" t="n">
        <v>0</v>
      </c>
      <c r="I3438" t="n">
        <v>0</v>
      </c>
      <c r="J3438" t="n">
        <v>0</v>
      </c>
      <c r="K3438" t="n">
        <v>0</v>
      </c>
      <c r="L3438" t="n">
        <v>0</v>
      </c>
      <c r="M3438" t="n">
        <v>0</v>
      </c>
      <c r="N3438" t="n">
        <v>0</v>
      </c>
      <c r="O3438" t="n">
        <v>0</v>
      </c>
      <c r="P3438" t="n">
        <v>0</v>
      </c>
      <c r="Q3438" t="n">
        <v>0</v>
      </c>
      <c r="R3438" s="2" t="inlineStr"/>
    </row>
    <row r="3439" ht="15" customHeight="1">
      <c r="A3439" t="inlineStr">
        <is>
          <t>A 62041-2022</t>
        </is>
      </c>
      <c r="B3439" s="1" t="n">
        <v>44918.55743055556</v>
      </c>
      <c r="C3439" s="1" t="n">
        <v>45962</v>
      </c>
      <c r="D3439" t="inlineStr">
        <is>
          <t>SKÅNE LÄN</t>
        </is>
      </c>
      <c r="E3439" t="inlineStr">
        <is>
          <t>HÄSSLEHOLM</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28088-2025</t>
        </is>
      </c>
      <c r="B3440" s="1" t="n">
        <v>45817</v>
      </c>
      <c r="C3440" s="1" t="n">
        <v>45962</v>
      </c>
      <c r="D3440" t="inlineStr">
        <is>
          <t>SKÅNE LÄN</t>
        </is>
      </c>
      <c r="E3440" t="inlineStr">
        <is>
          <t>ESLÖV</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28095-2025</t>
        </is>
      </c>
      <c r="B3441" s="1" t="n">
        <v>45817</v>
      </c>
      <c r="C3441" s="1" t="n">
        <v>45962</v>
      </c>
      <c r="D3441" t="inlineStr">
        <is>
          <t>SKÅNE LÄN</t>
        </is>
      </c>
      <c r="E3441" t="inlineStr">
        <is>
          <t>HÄSSLEHOLM</t>
        </is>
      </c>
      <c r="G3441" t="n">
        <v>2.5</v>
      </c>
      <c r="H3441" t="n">
        <v>0</v>
      </c>
      <c r="I3441" t="n">
        <v>0</v>
      </c>
      <c r="J3441" t="n">
        <v>0</v>
      </c>
      <c r="K3441" t="n">
        <v>0</v>
      </c>
      <c r="L3441" t="n">
        <v>0</v>
      </c>
      <c r="M3441" t="n">
        <v>0</v>
      </c>
      <c r="N3441" t="n">
        <v>0</v>
      </c>
      <c r="O3441" t="n">
        <v>0</v>
      </c>
      <c r="P3441" t="n">
        <v>0</v>
      </c>
      <c r="Q3441" t="n">
        <v>0</v>
      </c>
      <c r="R3441" s="2" t="inlineStr"/>
    </row>
    <row r="3442" ht="15" customHeight="1">
      <c r="A3442" t="inlineStr">
        <is>
          <t>A 10544-2025</t>
        </is>
      </c>
      <c r="B3442" s="1" t="n">
        <v>45721.48859953704</v>
      </c>
      <c r="C3442" s="1" t="n">
        <v>45962</v>
      </c>
      <c r="D3442" t="inlineStr">
        <is>
          <t>SKÅNE LÄN</t>
        </is>
      </c>
      <c r="E3442" t="inlineStr">
        <is>
          <t>KLIPPAN</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4822-2023</t>
        </is>
      </c>
      <c r="B3443" s="1" t="n">
        <v>44957</v>
      </c>
      <c r="C3443" s="1" t="n">
        <v>45962</v>
      </c>
      <c r="D3443" t="inlineStr">
        <is>
          <t>SKÅNE LÄN</t>
        </is>
      </c>
      <c r="E3443" t="inlineStr">
        <is>
          <t>BÅSTAD</t>
        </is>
      </c>
      <c r="G3443" t="n">
        <v>2.2</v>
      </c>
      <c r="H3443" t="n">
        <v>0</v>
      </c>
      <c r="I3443" t="n">
        <v>0</v>
      </c>
      <c r="J3443" t="n">
        <v>0</v>
      </c>
      <c r="K3443" t="n">
        <v>0</v>
      </c>
      <c r="L3443" t="n">
        <v>0</v>
      </c>
      <c r="M3443" t="n">
        <v>0</v>
      </c>
      <c r="N3443" t="n">
        <v>0</v>
      </c>
      <c r="O3443" t="n">
        <v>0</v>
      </c>
      <c r="P3443" t="n">
        <v>0</v>
      </c>
      <c r="Q3443" t="n">
        <v>0</v>
      </c>
      <c r="R3443" s="2" t="inlineStr"/>
    </row>
    <row r="3444" ht="15" customHeight="1">
      <c r="A3444" t="inlineStr">
        <is>
          <t>A 51153-2024</t>
        </is>
      </c>
      <c r="B3444" s="1" t="n">
        <v>45603.57090277778</v>
      </c>
      <c r="C3444" s="1" t="n">
        <v>45962</v>
      </c>
      <c r="D3444" t="inlineStr">
        <is>
          <t>SKÅNE LÄN</t>
        </is>
      </c>
      <c r="E3444" t="inlineStr">
        <is>
          <t>SJÖBO</t>
        </is>
      </c>
      <c r="G3444" t="n">
        <v>3.9</v>
      </c>
      <c r="H3444" t="n">
        <v>0</v>
      </c>
      <c r="I3444" t="n">
        <v>0</v>
      </c>
      <c r="J3444" t="n">
        <v>0</v>
      </c>
      <c r="K3444" t="n">
        <v>0</v>
      </c>
      <c r="L3444" t="n">
        <v>0</v>
      </c>
      <c r="M3444" t="n">
        <v>0</v>
      </c>
      <c r="N3444" t="n">
        <v>0</v>
      </c>
      <c r="O3444" t="n">
        <v>0</v>
      </c>
      <c r="P3444" t="n">
        <v>0</v>
      </c>
      <c r="Q3444" t="n">
        <v>0</v>
      </c>
      <c r="R3444" s="2" t="inlineStr"/>
    </row>
    <row r="3445" ht="15" customHeight="1">
      <c r="A3445" t="inlineStr">
        <is>
          <t>A 7994-2023</t>
        </is>
      </c>
      <c r="B3445" s="1" t="n">
        <v>44973.77732638889</v>
      </c>
      <c r="C3445" s="1" t="n">
        <v>45962</v>
      </c>
      <c r="D3445" t="inlineStr">
        <is>
          <t>SKÅNE LÄN</t>
        </is>
      </c>
      <c r="E3445" t="inlineStr">
        <is>
          <t>ÄNGELHOLM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11922-2023</t>
        </is>
      </c>
      <c r="B3446" s="1" t="n">
        <v>44993</v>
      </c>
      <c r="C3446" s="1" t="n">
        <v>45962</v>
      </c>
      <c r="D3446" t="inlineStr">
        <is>
          <t>SKÅNE LÄN</t>
        </is>
      </c>
      <c r="E3446" t="inlineStr">
        <is>
          <t>SVALÖV</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12468-2024</t>
        </is>
      </c>
      <c r="B3447" s="1" t="n">
        <v>45379</v>
      </c>
      <c r="C3447" s="1" t="n">
        <v>45962</v>
      </c>
      <c r="D3447" t="inlineStr">
        <is>
          <t>SKÅNE LÄN</t>
        </is>
      </c>
      <c r="E3447" t="inlineStr">
        <is>
          <t>HÄSSLEHOLM</t>
        </is>
      </c>
      <c r="G3447" t="n">
        <v>15.5</v>
      </c>
      <c r="H3447" t="n">
        <v>0</v>
      </c>
      <c r="I3447" t="n">
        <v>0</v>
      </c>
      <c r="J3447" t="n">
        <v>0</v>
      </c>
      <c r="K3447" t="n">
        <v>0</v>
      </c>
      <c r="L3447" t="n">
        <v>0</v>
      </c>
      <c r="M3447" t="n">
        <v>0</v>
      </c>
      <c r="N3447" t="n">
        <v>0</v>
      </c>
      <c r="O3447" t="n">
        <v>0</v>
      </c>
      <c r="P3447" t="n">
        <v>0</v>
      </c>
      <c r="Q3447" t="n">
        <v>0</v>
      </c>
      <c r="R3447" s="2" t="inlineStr"/>
    </row>
    <row r="3448" ht="15" customHeight="1">
      <c r="A3448" t="inlineStr">
        <is>
          <t>A 21146-2022</t>
        </is>
      </c>
      <c r="B3448" s="1" t="n">
        <v>44704</v>
      </c>
      <c r="C3448" s="1" t="n">
        <v>45962</v>
      </c>
      <c r="D3448" t="inlineStr">
        <is>
          <t>SKÅNE LÄN</t>
        </is>
      </c>
      <c r="E3448" t="inlineStr">
        <is>
          <t>ÖRKELLJUNGA</t>
        </is>
      </c>
      <c r="G3448" t="n">
        <v>7.4</v>
      </c>
      <c r="H3448" t="n">
        <v>0</v>
      </c>
      <c r="I3448" t="n">
        <v>0</v>
      </c>
      <c r="J3448" t="n">
        <v>0</v>
      </c>
      <c r="K3448" t="n">
        <v>0</v>
      </c>
      <c r="L3448" t="n">
        <v>0</v>
      </c>
      <c r="M3448" t="n">
        <v>0</v>
      </c>
      <c r="N3448" t="n">
        <v>0</v>
      </c>
      <c r="O3448" t="n">
        <v>0</v>
      </c>
      <c r="P3448" t="n">
        <v>0</v>
      </c>
      <c r="Q3448" t="n">
        <v>0</v>
      </c>
      <c r="R3448" s="2" t="inlineStr"/>
    </row>
    <row r="3449" ht="15" customHeight="1">
      <c r="A3449" t="inlineStr">
        <is>
          <t>A 24154-2023</t>
        </is>
      </c>
      <c r="B3449" s="1" t="n">
        <v>45079</v>
      </c>
      <c r="C3449" s="1" t="n">
        <v>45962</v>
      </c>
      <c r="D3449" t="inlineStr">
        <is>
          <t>SKÅNE LÄN</t>
        </is>
      </c>
      <c r="E3449" t="inlineStr">
        <is>
          <t>ÖRKELLJUNGA</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49219-2021</t>
        </is>
      </c>
      <c r="B3450" s="1" t="n">
        <v>44454</v>
      </c>
      <c r="C3450" s="1" t="n">
        <v>45962</v>
      </c>
      <c r="D3450" t="inlineStr">
        <is>
          <t>SKÅNE LÄN</t>
        </is>
      </c>
      <c r="E3450" t="inlineStr">
        <is>
          <t>HÄSSLEHOLM</t>
        </is>
      </c>
      <c r="G3450" t="n">
        <v>7.8</v>
      </c>
      <c r="H3450" t="n">
        <v>0</v>
      </c>
      <c r="I3450" t="n">
        <v>0</v>
      </c>
      <c r="J3450" t="n">
        <v>0</v>
      </c>
      <c r="K3450" t="n">
        <v>0</v>
      </c>
      <c r="L3450" t="n">
        <v>0</v>
      </c>
      <c r="M3450" t="n">
        <v>0</v>
      </c>
      <c r="N3450" t="n">
        <v>0</v>
      </c>
      <c r="O3450" t="n">
        <v>0</v>
      </c>
      <c r="P3450" t="n">
        <v>0</v>
      </c>
      <c r="Q3450" t="n">
        <v>0</v>
      </c>
      <c r="R3450" s="2" t="inlineStr"/>
    </row>
    <row r="3451" ht="15" customHeight="1">
      <c r="A3451" t="inlineStr">
        <is>
          <t>A 29296-2021</t>
        </is>
      </c>
      <c r="B3451" s="1" t="n">
        <v>44361</v>
      </c>
      <c r="C3451" s="1" t="n">
        <v>45962</v>
      </c>
      <c r="D3451" t="inlineStr">
        <is>
          <t>SKÅNE LÄN</t>
        </is>
      </c>
      <c r="E3451" t="inlineStr">
        <is>
          <t>SVALÖV</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65211-2021</t>
        </is>
      </c>
      <c r="B3452" s="1" t="n">
        <v>44515.50362268519</v>
      </c>
      <c r="C3452" s="1" t="n">
        <v>45962</v>
      </c>
      <c r="D3452" t="inlineStr">
        <is>
          <t>SKÅNE LÄN</t>
        </is>
      </c>
      <c r="E3452" t="inlineStr">
        <is>
          <t>ÖRKELLJUNGA</t>
        </is>
      </c>
      <c r="G3452" t="n">
        <v>4.9</v>
      </c>
      <c r="H3452" t="n">
        <v>0</v>
      </c>
      <c r="I3452" t="n">
        <v>0</v>
      </c>
      <c r="J3452" t="n">
        <v>0</v>
      </c>
      <c r="K3452" t="n">
        <v>0</v>
      </c>
      <c r="L3452" t="n">
        <v>0</v>
      </c>
      <c r="M3452" t="n">
        <v>0</v>
      </c>
      <c r="N3452" t="n">
        <v>0</v>
      </c>
      <c r="O3452" t="n">
        <v>0</v>
      </c>
      <c r="P3452" t="n">
        <v>0</v>
      </c>
      <c r="Q3452" t="n">
        <v>0</v>
      </c>
      <c r="R3452" s="2" t="inlineStr"/>
    </row>
    <row r="3453" ht="15" customHeight="1">
      <c r="A3453" t="inlineStr">
        <is>
          <t>A 70705-2021</t>
        </is>
      </c>
      <c r="B3453" s="1" t="n">
        <v>44537</v>
      </c>
      <c r="C3453" s="1" t="n">
        <v>45962</v>
      </c>
      <c r="D3453" t="inlineStr">
        <is>
          <t>SKÅNE LÄN</t>
        </is>
      </c>
      <c r="E3453" t="inlineStr">
        <is>
          <t>KRISTIANSTAD</t>
        </is>
      </c>
      <c r="G3453" t="n">
        <v>3.8</v>
      </c>
      <c r="H3453" t="n">
        <v>0</v>
      </c>
      <c r="I3453" t="n">
        <v>0</v>
      </c>
      <c r="J3453" t="n">
        <v>0</v>
      </c>
      <c r="K3453" t="n">
        <v>0</v>
      </c>
      <c r="L3453" t="n">
        <v>0</v>
      </c>
      <c r="M3453" t="n">
        <v>0</v>
      </c>
      <c r="N3453" t="n">
        <v>0</v>
      </c>
      <c r="O3453" t="n">
        <v>0</v>
      </c>
      <c r="P3453" t="n">
        <v>0</v>
      </c>
      <c r="Q3453" t="n">
        <v>0</v>
      </c>
      <c r="R3453" s="2" t="inlineStr"/>
    </row>
    <row r="3454" ht="15" customHeight="1">
      <c r="A3454" t="inlineStr">
        <is>
          <t>A 5890-2023</t>
        </is>
      </c>
      <c r="B3454" s="1" t="n">
        <v>44963.64527777778</v>
      </c>
      <c r="C3454" s="1" t="n">
        <v>45962</v>
      </c>
      <c r="D3454" t="inlineStr">
        <is>
          <t>SKÅNE LÄN</t>
        </is>
      </c>
      <c r="E3454" t="inlineStr">
        <is>
          <t>HÄSSLEHOLM</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5141-2024</t>
        </is>
      </c>
      <c r="B3455" s="1" t="n">
        <v>45330</v>
      </c>
      <c r="C3455" s="1" t="n">
        <v>45962</v>
      </c>
      <c r="D3455" t="inlineStr">
        <is>
          <t>SKÅNE LÄN</t>
        </is>
      </c>
      <c r="E3455" t="inlineStr">
        <is>
          <t>KLIPPAN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32272-2024</t>
        </is>
      </c>
      <c r="B3456" s="1" t="n">
        <v>45512.35908564815</v>
      </c>
      <c r="C3456" s="1" t="n">
        <v>45962</v>
      </c>
      <c r="D3456" t="inlineStr">
        <is>
          <t>SKÅNE LÄN</t>
        </is>
      </c>
      <c r="E3456" t="inlineStr">
        <is>
          <t>BROMÖLLA</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12936-2025</t>
        </is>
      </c>
      <c r="B3457" s="1" t="n">
        <v>45734</v>
      </c>
      <c r="C3457" s="1" t="n">
        <v>45962</v>
      </c>
      <c r="D3457" t="inlineStr">
        <is>
          <t>SKÅNE LÄN</t>
        </is>
      </c>
      <c r="E3457" t="inlineStr">
        <is>
          <t>HÄSSLEHOLM</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46487-2024</t>
        </is>
      </c>
      <c r="B3458" s="1" t="n">
        <v>45582</v>
      </c>
      <c r="C3458" s="1" t="n">
        <v>45962</v>
      </c>
      <c r="D3458" t="inlineStr">
        <is>
          <t>SKÅNE LÄN</t>
        </is>
      </c>
      <c r="E3458" t="inlineStr">
        <is>
          <t>ÄNGELHOLM</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3392-2024</t>
        </is>
      </c>
      <c r="B3459" s="1" t="n">
        <v>45318</v>
      </c>
      <c r="C3459" s="1" t="n">
        <v>45962</v>
      </c>
      <c r="D3459" t="inlineStr">
        <is>
          <t>SKÅNE LÄN</t>
        </is>
      </c>
      <c r="E3459" t="inlineStr">
        <is>
          <t>SIMRISHAMN</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12605-2025</t>
        </is>
      </c>
      <c r="B3460" s="1" t="n">
        <v>45733</v>
      </c>
      <c r="C3460" s="1" t="n">
        <v>45962</v>
      </c>
      <c r="D3460" t="inlineStr">
        <is>
          <t>SKÅNE LÄN</t>
        </is>
      </c>
      <c r="E3460" t="inlineStr">
        <is>
          <t>ESLÖV</t>
        </is>
      </c>
      <c r="F3460" t="inlineStr">
        <is>
          <t>Sveaskog</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5177-2024</t>
        </is>
      </c>
      <c r="B3461" s="1" t="n">
        <v>45330.57633101852</v>
      </c>
      <c r="C3461" s="1" t="n">
        <v>45962</v>
      </c>
      <c r="D3461" t="inlineStr">
        <is>
          <t>SKÅNE LÄN</t>
        </is>
      </c>
      <c r="E3461" t="inlineStr">
        <is>
          <t>ÖSTRA GÖINGE</t>
        </is>
      </c>
      <c r="G3461" t="n">
        <v>0.5</v>
      </c>
      <c r="H3461" t="n">
        <v>0</v>
      </c>
      <c r="I3461" t="n">
        <v>0</v>
      </c>
      <c r="J3461" t="n">
        <v>0</v>
      </c>
      <c r="K3461" t="n">
        <v>0</v>
      </c>
      <c r="L3461" t="n">
        <v>0</v>
      </c>
      <c r="M3461" t="n">
        <v>0</v>
      </c>
      <c r="N3461" t="n">
        <v>0</v>
      </c>
      <c r="O3461" t="n">
        <v>0</v>
      </c>
      <c r="P3461" t="n">
        <v>0</v>
      </c>
      <c r="Q3461" t="n">
        <v>0</v>
      </c>
      <c r="R3461" s="2" t="inlineStr"/>
    </row>
    <row r="3462" ht="15" customHeight="1">
      <c r="A3462" t="inlineStr">
        <is>
          <t>A 56062-2024</t>
        </is>
      </c>
      <c r="B3462" s="1" t="n">
        <v>45624.37105324074</v>
      </c>
      <c r="C3462" s="1" t="n">
        <v>45962</v>
      </c>
      <c r="D3462" t="inlineStr">
        <is>
          <t>SKÅNE LÄN</t>
        </is>
      </c>
      <c r="E3462" t="inlineStr">
        <is>
          <t>HÄSSLEHOLM</t>
        </is>
      </c>
      <c r="F3462" t="inlineStr">
        <is>
          <t>Övriga Aktiebolag</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28550-2025</t>
        </is>
      </c>
      <c r="B3463" s="1" t="n">
        <v>45818</v>
      </c>
      <c r="C3463" s="1" t="n">
        <v>45962</v>
      </c>
      <c r="D3463" t="inlineStr">
        <is>
          <t>SKÅNE LÄN</t>
        </is>
      </c>
      <c r="E3463" t="inlineStr">
        <is>
          <t>HÖRBY</t>
        </is>
      </c>
      <c r="G3463" t="n">
        <v>5</v>
      </c>
      <c r="H3463" t="n">
        <v>0</v>
      </c>
      <c r="I3463" t="n">
        <v>0</v>
      </c>
      <c r="J3463" t="n">
        <v>0</v>
      </c>
      <c r="K3463" t="n">
        <v>0</v>
      </c>
      <c r="L3463" t="n">
        <v>0</v>
      </c>
      <c r="M3463" t="n">
        <v>0</v>
      </c>
      <c r="N3463" t="n">
        <v>0</v>
      </c>
      <c r="O3463" t="n">
        <v>0</v>
      </c>
      <c r="P3463" t="n">
        <v>0</v>
      </c>
      <c r="Q3463" t="n">
        <v>0</v>
      </c>
      <c r="R3463" s="2" t="inlineStr"/>
    </row>
    <row r="3464" ht="15" customHeight="1">
      <c r="A3464" t="inlineStr">
        <is>
          <t>A 5958-2024</t>
        </is>
      </c>
      <c r="B3464" s="1" t="n">
        <v>45336</v>
      </c>
      <c r="C3464" s="1" t="n">
        <v>45962</v>
      </c>
      <c r="D3464" t="inlineStr">
        <is>
          <t>SKÅNE LÄN</t>
        </is>
      </c>
      <c r="E3464" t="inlineStr">
        <is>
          <t>KRISTIANSTAD</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8602-2025</t>
        </is>
      </c>
      <c r="B3465" s="1" t="n">
        <v>45709.96243055556</v>
      </c>
      <c r="C3465" s="1" t="n">
        <v>45962</v>
      </c>
      <c r="D3465" t="inlineStr">
        <is>
          <t>SKÅNE LÄN</t>
        </is>
      </c>
      <c r="E3465" t="inlineStr">
        <is>
          <t>KRISTIANSTAD</t>
        </is>
      </c>
      <c r="G3465" t="n">
        <v>6.5</v>
      </c>
      <c r="H3465" t="n">
        <v>0</v>
      </c>
      <c r="I3465" t="n">
        <v>0</v>
      </c>
      <c r="J3465" t="n">
        <v>0</v>
      </c>
      <c r="K3465" t="n">
        <v>0</v>
      </c>
      <c r="L3465" t="n">
        <v>0</v>
      </c>
      <c r="M3465" t="n">
        <v>0</v>
      </c>
      <c r="N3465" t="n">
        <v>0</v>
      </c>
      <c r="O3465" t="n">
        <v>0</v>
      </c>
      <c r="P3465" t="n">
        <v>0</v>
      </c>
      <c r="Q3465" t="n">
        <v>0</v>
      </c>
      <c r="R3465" s="2" t="inlineStr"/>
    </row>
    <row r="3466" ht="15" customHeight="1">
      <c r="A3466" t="inlineStr">
        <is>
          <t>A 52838-2024</t>
        </is>
      </c>
      <c r="B3466" s="1" t="n">
        <v>45610</v>
      </c>
      <c r="C3466" s="1" t="n">
        <v>45962</v>
      </c>
      <c r="D3466" t="inlineStr">
        <is>
          <t>SKÅNE LÄN</t>
        </is>
      </c>
      <c r="E3466" t="inlineStr">
        <is>
          <t>KLIPPAN</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2935-2024</t>
        </is>
      </c>
      <c r="B3467" s="1" t="n">
        <v>45315</v>
      </c>
      <c r="C3467" s="1" t="n">
        <v>45962</v>
      </c>
      <c r="D3467" t="inlineStr">
        <is>
          <t>SKÅNE LÄN</t>
        </is>
      </c>
      <c r="E3467" t="inlineStr">
        <is>
          <t>HÖÖR</t>
        </is>
      </c>
      <c r="G3467" t="n">
        <v>5.4</v>
      </c>
      <c r="H3467" t="n">
        <v>0</v>
      </c>
      <c r="I3467" t="n">
        <v>0</v>
      </c>
      <c r="J3467" t="n">
        <v>0</v>
      </c>
      <c r="K3467" t="n">
        <v>0</v>
      </c>
      <c r="L3467" t="n">
        <v>0</v>
      </c>
      <c r="M3467" t="n">
        <v>0</v>
      </c>
      <c r="N3467" t="n">
        <v>0</v>
      </c>
      <c r="O3467" t="n">
        <v>0</v>
      </c>
      <c r="P3467" t="n">
        <v>0</v>
      </c>
      <c r="Q3467" t="n">
        <v>0</v>
      </c>
      <c r="R3467" s="2" t="inlineStr"/>
    </row>
    <row r="3468" ht="15" customHeight="1">
      <c r="A3468" t="inlineStr">
        <is>
          <t>A 49827-2022</t>
        </is>
      </c>
      <c r="B3468" s="1" t="n">
        <v>44859</v>
      </c>
      <c r="C3468" s="1" t="n">
        <v>45962</v>
      </c>
      <c r="D3468" t="inlineStr">
        <is>
          <t>SKÅNE LÄN</t>
        </is>
      </c>
      <c r="E3468" t="inlineStr">
        <is>
          <t>HÄSSLEHOLM</t>
        </is>
      </c>
      <c r="G3468" t="n">
        <v>6.1</v>
      </c>
      <c r="H3468" t="n">
        <v>0</v>
      </c>
      <c r="I3468" t="n">
        <v>0</v>
      </c>
      <c r="J3468" t="n">
        <v>0</v>
      </c>
      <c r="K3468" t="n">
        <v>0</v>
      </c>
      <c r="L3468" t="n">
        <v>0</v>
      </c>
      <c r="M3468" t="n">
        <v>0</v>
      </c>
      <c r="N3468" t="n">
        <v>0</v>
      </c>
      <c r="O3468" t="n">
        <v>0</v>
      </c>
      <c r="P3468" t="n">
        <v>0</v>
      </c>
      <c r="Q3468" t="n">
        <v>0</v>
      </c>
      <c r="R3468" s="2" t="inlineStr"/>
    </row>
    <row r="3469" ht="15" customHeight="1">
      <c r="A3469" t="inlineStr">
        <is>
          <t>A 41209-2023</t>
        </is>
      </c>
      <c r="B3469" s="1" t="n">
        <v>45174.43481481481</v>
      </c>
      <c r="C3469" s="1" t="n">
        <v>45962</v>
      </c>
      <c r="D3469" t="inlineStr">
        <is>
          <t>SKÅNE LÄN</t>
        </is>
      </c>
      <c r="E3469" t="inlineStr">
        <is>
          <t>HÄSSLEHOLM</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28376-2025</t>
        </is>
      </c>
      <c r="B3470" s="1" t="n">
        <v>45819.29016203704</v>
      </c>
      <c r="C3470" s="1" t="n">
        <v>45962</v>
      </c>
      <c r="D3470" t="inlineStr">
        <is>
          <t>SKÅNE LÄN</t>
        </is>
      </c>
      <c r="E3470" t="inlineStr">
        <is>
          <t>OSBY</t>
        </is>
      </c>
      <c r="G3470" t="n">
        <v>1.6</v>
      </c>
      <c r="H3470" t="n">
        <v>0</v>
      </c>
      <c r="I3470" t="n">
        <v>0</v>
      </c>
      <c r="J3470" t="n">
        <v>0</v>
      </c>
      <c r="K3470" t="n">
        <v>0</v>
      </c>
      <c r="L3470" t="n">
        <v>0</v>
      </c>
      <c r="M3470" t="n">
        <v>0</v>
      </c>
      <c r="N3470" t="n">
        <v>0</v>
      </c>
      <c r="O3470" t="n">
        <v>0</v>
      </c>
      <c r="P3470" t="n">
        <v>0</v>
      </c>
      <c r="Q3470" t="n">
        <v>0</v>
      </c>
      <c r="R3470" s="2" t="inlineStr"/>
    </row>
    <row r="3471" ht="15" customHeight="1">
      <c r="A3471" t="inlineStr">
        <is>
          <t>A 1553-2023</t>
        </is>
      </c>
      <c r="B3471" s="1" t="n">
        <v>44937</v>
      </c>
      <c r="C3471" s="1" t="n">
        <v>45962</v>
      </c>
      <c r="D3471" t="inlineStr">
        <is>
          <t>SKÅNE LÄN</t>
        </is>
      </c>
      <c r="E3471" t="inlineStr">
        <is>
          <t>HÄSSLEHOLM</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18046-2024</t>
        </is>
      </c>
      <c r="B3472" s="1" t="n">
        <v>45420</v>
      </c>
      <c r="C3472" s="1" t="n">
        <v>45962</v>
      </c>
      <c r="D3472" t="inlineStr">
        <is>
          <t>SKÅNE LÄN</t>
        </is>
      </c>
      <c r="E3472" t="inlineStr">
        <is>
          <t>KRISTIANSTAD</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29832-2024</t>
        </is>
      </c>
      <c r="B3473" s="1" t="n">
        <v>45485.57604166667</v>
      </c>
      <c r="C3473" s="1" t="n">
        <v>45962</v>
      </c>
      <c r="D3473" t="inlineStr">
        <is>
          <t>SKÅNE LÄN</t>
        </is>
      </c>
      <c r="E3473" t="inlineStr">
        <is>
          <t>KRISTIANSTAD</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22095-2024</t>
        </is>
      </c>
      <c r="B3474" s="1" t="n">
        <v>45443.76803240741</v>
      </c>
      <c r="C3474" s="1" t="n">
        <v>45962</v>
      </c>
      <c r="D3474" t="inlineStr">
        <is>
          <t>SKÅNE LÄN</t>
        </is>
      </c>
      <c r="E3474" t="inlineStr">
        <is>
          <t>ÖSTRA GÖINGE</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18059-2024</t>
        </is>
      </c>
      <c r="B3475" s="1" t="n">
        <v>45420.39774305555</v>
      </c>
      <c r="C3475" s="1" t="n">
        <v>45962</v>
      </c>
      <c r="D3475" t="inlineStr">
        <is>
          <t>SKÅNE LÄN</t>
        </is>
      </c>
      <c r="E3475" t="inlineStr">
        <is>
          <t>KRISTIANSTAD</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22690-2022</t>
        </is>
      </c>
      <c r="B3476" s="1" t="n">
        <v>44714.5421875</v>
      </c>
      <c r="C3476" s="1" t="n">
        <v>45962</v>
      </c>
      <c r="D3476" t="inlineStr">
        <is>
          <t>SKÅNE LÄN</t>
        </is>
      </c>
      <c r="E3476" t="inlineStr">
        <is>
          <t>HÄSSLEHOLM</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11811-2025</t>
        </is>
      </c>
      <c r="B3477" s="1" t="n">
        <v>45727.9189699074</v>
      </c>
      <c r="C3477" s="1" t="n">
        <v>45962</v>
      </c>
      <c r="D3477" t="inlineStr">
        <is>
          <t>SKÅNE LÄN</t>
        </is>
      </c>
      <c r="E3477" t="inlineStr">
        <is>
          <t>TOMELILLA</t>
        </is>
      </c>
      <c r="G3477" t="n">
        <v>9.699999999999999</v>
      </c>
      <c r="H3477" t="n">
        <v>0</v>
      </c>
      <c r="I3477" t="n">
        <v>0</v>
      </c>
      <c r="J3477" t="n">
        <v>0</v>
      </c>
      <c r="K3477" t="n">
        <v>0</v>
      </c>
      <c r="L3477" t="n">
        <v>0</v>
      </c>
      <c r="M3477" t="n">
        <v>0</v>
      </c>
      <c r="N3477" t="n">
        <v>0</v>
      </c>
      <c r="O3477" t="n">
        <v>0</v>
      </c>
      <c r="P3477" t="n">
        <v>0</v>
      </c>
      <c r="Q3477" t="n">
        <v>0</v>
      </c>
      <c r="R3477" s="2" t="inlineStr"/>
    </row>
    <row r="3478" ht="15" customHeight="1">
      <c r="A3478" t="inlineStr">
        <is>
          <t>A 57275-2023</t>
        </is>
      </c>
      <c r="B3478" s="1" t="n">
        <v>45245.58886574074</v>
      </c>
      <c r="C3478" s="1" t="n">
        <v>45962</v>
      </c>
      <c r="D3478" t="inlineStr">
        <is>
          <t>SKÅNE LÄN</t>
        </is>
      </c>
      <c r="E3478" t="inlineStr">
        <is>
          <t>HÄSSLEHOLM</t>
        </is>
      </c>
      <c r="G3478" t="n">
        <v>1.7</v>
      </c>
      <c r="H3478" t="n">
        <v>0</v>
      </c>
      <c r="I3478" t="n">
        <v>0</v>
      </c>
      <c r="J3478" t="n">
        <v>0</v>
      </c>
      <c r="K3478" t="n">
        <v>0</v>
      </c>
      <c r="L3478" t="n">
        <v>0</v>
      </c>
      <c r="M3478" t="n">
        <v>0</v>
      </c>
      <c r="N3478" t="n">
        <v>0</v>
      </c>
      <c r="O3478" t="n">
        <v>0</v>
      </c>
      <c r="P3478" t="n">
        <v>0</v>
      </c>
      <c r="Q3478" t="n">
        <v>0</v>
      </c>
      <c r="R3478" s="2" t="inlineStr"/>
    </row>
    <row r="3479" ht="15" customHeight="1">
      <c r="A3479" t="inlineStr">
        <is>
          <t>A 57394-2024</t>
        </is>
      </c>
      <c r="B3479" s="1" t="n">
        <v>45629.6907175926</v>
      </c>
      <c r="C3479" s="1" t="n">
        <v>45962</v>
      </c>
      <c r="D3479" t="inlineStr">
        <is>
          <t>SKÅNE LÄN</t>
        </is>
      </c>
      <c r="E3479" t="inlineStr">
        <is>
          <t>BJUV</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74033-2021</t>
        </is>
      </c>
      <c r="B3480" s="1" t="n">
        <v>44557.46721064814</v>
      </c>
      <c r="C3480" s="1" t="n">
        <v>45962</v>
      </c>
      <c r="D3480" t="inlineStr">
        <is>
          <t>SKÅNE LÄN</t>
        </is>
      </c>
      <c r="E3480" t="inlineStr">
        <is>
          <t>OSBY</t>
        </is>
      </c>
      <c r="G3480" t="n">
        <v>1.8</v>
      </c>
      <c r="H3480" t="n">
        <v>0</v>
      </c>
      <c r="I3480" t="n">
        <v>0</v>
      </c>
      <c r="J3480" t="n">
        <v>0</v>
      </c>
      <c r="K3480" t="n">
        <v>0</v>
      </c>
      <c r="L3480" t="n">
        <v>0</v>
      </c>
      <c r="M3480" t="n">
        <v>0</v>
      </c>
      <c r="N3480" t="n">
        <v>0</v>
      </c>
      <c r="O3480" t="n">
        <v>0</v>
      </c>
      <c r="P3480" t="n">
        <v>0</v>
      </c>
      <c r="Q3480" t="n">
        <v>0</v>
      </c>
      <c r="R3480" s="2" t="inlineStr"/>
    </row>
    <row r="3481" ht="15" customHeight="1">
      <c r="A3481" t="inlineStr">
        <is>
          <t>A 53897-2023</t>
        </is>
      </c>
      <c r="B3481" s="1" t="n">
        <v>45231.53934027778</v>
      </c>
      <c r="C3481" s="1" t="n">
        <v>45962</v>
      </c>
      <c r="D3481" t="inlineStr">
        <is>
          <t>SKÅNE LÄN</t>
        </is>
      </c>
      <c r="E3481" t="inlineStr">
        <is>
          <t>HÄSSLEHOLM</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20599-2024</t>
        </is>
      </c>
      <c r="B3482" s="1" t="n">
        <v>45436.43516203704</v>
      </c>
      <c r="C3482" s="1" t="n">
        <v>45962</v>
      </c>
      <c r="D3482" t="inlineStr">
        <is>
          <t>SKÅNE LÄN</t>
        </is>
      </c>
      <c r="E3482" t="inlineStr">
        <is>
          <t>OSBY</t>
        </is>
      </c>
      <c r="G3482" t="n">
        <v>1.7</v>
      </c>
      <c r="H3482" t="n">
        <v>0</v>
      </c>
      <c r="I3482" t="n">
        <v>0</v>
      </c>
      <c r="J3482" t="n">
        <v>0</v>
      </c>
      <c r="K3482" t="n">
        <v>0</v>
      </c>
      <c r="L3482" t="n">
        <v>0</v>
      </c>
      <c r="M3482" t="n">
        <v>0</v>
      </c>
      <c r="N3482" t="n">
        <v>0</v>
      </c>
      <c r="O3482" t="n">
        <v>0</v>
      </c>
      <c r="P3482" t="n">
        <v>0</v>
      </c>
      <c r="Q3482" t="n">
        <v>0</v>
      </c>
      <c r="R3482" s="2" t="inlineStr"/>
    </row>
    <row r="3483" ht="15" customHeight="1">
      <c r="A3483" t="inlineStr">
        <is>
          <t>A 8968-2021</t>
        </is>
      </c>
      <c r="B3483" s="1" t="n">
        <v>44249</v>
      </c>
      <c r="C3483" s="1" t="n">
        <v>45962</v>
      </c>
      <c r="D3483" t="inlineStr">
        <is>
          <t>SKÅNE LÄN</t>
        </is>
      </c>
      <c r="E3483" t="inlineStr">
        <is>
          <t>KRISTIANSTAD</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15893-2025</t>
        </is>
      </c>
      <c r="B3484" s="1" t="n">
        <v>45749.41351851852</v>
      </c>
      <c r="C3484" s="1" t="n">
        <v>45962</v>
      </c>
      <c r="D3484" t="inlineStr">
        <is>
          <t>SKÅNE LÄN</t>
        </is>
      </c>
      <c r="E3484" t="inlineStr">
        <is>
          <t>OSBY</t>
        </is>
      </c>
      <c r="G3484" t="n">
        <v>5.2</v>
      </c>
      <c r="H3484" t="n">
        <v>0</v>
      </c>
      <c r="I3484" t="n">
        <v>0</v>
      </c>
      <c r="J3484" t="n">
        <v>0</v>
      </c>
      <c r="K3484" t="n">
        <v>0</v>
      </c>
      <c r="L3484" t="n">
        <v>0</v>
      </c>
      <c r="M3484" t="n">
        <v>0</v>
      </c>
      <c r="N3484" t="n">
        <v>0</v>
      </c>
      <c r="O3484" t="n">
        <v>0</v>
      </c>
      <c r="P3484" t="n">
        <v>0</v>
      </c>
      <c r="Q3484" t="n">
        <v>0</v>
      </c>
      <c r="R3484" s="2" t="inlineStr"/>
    </row>
    <row r="3485" ht="15" customHeight="1">
      <c r="A3485" t="inlineStr">
        <is>
          <t>A 61094-2021</t>
        </is>
      </c>
      <c r="B3485" s="1" t="n">
        <v>44498</v>
      </c>
      <c r="C3485" s="1" t="n">
        <v>45962</v>
      </c>
      <c r="D3485" t="inlineStr">
        <is>
          <t>SKÅNE LÄN</t>
        </is>
      </c>
      <c r="E3485" t="inlineStr">
        <is>
          <t>ÄNGELHOLM</t>
        </is>
      </c>
      <c r="G3485" t="n">
        <v>6.4</v>
      </c>
      <c r="H3485" t="n">
        <v>0</v>
      </c>
      <c r="I3485" t="n">
        <v>0</v>
      </c>
      <c r="J3485" t="n">
        <v>0</v>
      </c>
      <c r="K3485" t="n">
        <v>0</v>
      </c>
      <c r="L3485" t="n">
        <v>0</v>
      </c>
      <c r="M3485" t="n">
        <v>0</v>
      </c>
      <c r="N3485" t="n">
        <v>0</v>
      </c>
      <c r="O3485" t="n">
        <v>0</v>
      </c>
      <c r="P3485" t="n">
        <v>0</v>
      </c>
      <c r="Q3485" t="n">
        <v>0</v>
      </c>
      <c r="R3485" s="2" t="inlineStr"/>
    </row>
    <row r="3486" ht="15" customHeight="1">
      <c r="A3486" t="inlineStr">
        <is>
          <t>A 1107-2025</t>
        </is>
      </c>
      <c r="B3486" s="1" t="n">
        <v>45666.65141203703</v>
      </c>
      <c r="C3486" s="1" t="n">
        <v>45962</v>
      </c>
      <c r="D3486" t="inlineStr">
        <is>
          <t>SKÅNE LÄN</t>
        </is>
      </c>
      <c r="E3486" t="inlineStr">
        <is>
          <t>OSBY</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22555-2021</t>
        </is>
      </c>
      <c r="B3487" s="1" t="n">
        <v>44326</v>
      </c>
      <c r="C3487" s="1" t="n">
        <v>45962</v>
      </c>
      <c r="D3487" t="inlineStr">
        <is>
          <t>SKÅNE LÄN</t>
        </is>
      </c>
      <c r="E3487" t="inlineStr">
        <is>
          <t>ÖSTRA GÖINGE</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1170-2025</t>
        </is>
      </c>
      <c r="B3488" s="1" t="n">
        <v>45667.29226851852</v>
      </c>
      <c r="C3488" s="1" t="n">
        <v>45962</v>
      </c>
      <c r="D3488" t="inlineStr">
        <is>
          <t>SKÅNE LÄN</t>
        </is>
      </c>
      <c r="E3488" t="inlineStr">
        <is>
          <t>HÄSSLEHOLM</t>
        </is>
      </c>
      <c r="G3488" t="n">
        <v>4.3</v>
      </c>
      <c r="H3488" t="n">
        <v>0</v>
      </c>
      <c r="I3488" t="n">
        <v>0</v>
      </c>
      <c r="J3488" t="n">
        <v>0</v>
      </c>
      <c r="K3488" t="n">
        <v>0</v>
      </c>
      <c r="L3488" t="n">
        <v>0</v>
      </c>
      <c r="M3488" t="n">
        <v>0</v>
      </c>
      <c r="N3488" t="n">
        <v>0</v>
      </c>
      <c r="O3488" t="n">
        <v>0</v>
      </c>
      <c r="P3488" t="n">
        <v>0</v>
      </c>
      <c r="Q3488" t="n">
        <v>0</v>
      </c>
      <c r="R3488" s="2" t="inlineStr"/>
    </row>
    <row r="3489" ht="15" customHeight="1">
      <c r="A3489" t="inlineStr">
        <is>
          <t>A 39934-2024</t>
        </is>
      </c>
      <c r="B3489" s="1" t="n">
        <v>45553.56228009259</v>
      </c>
      <c r="C3489" s="1" t="n">
        <v>45962</v>
      </c>
      <c r="D3489" t="inlineStr">
        <is>
          <t>SKÅNE LÄN</t>
        </is>
      </c>
      <c r="E3489" t="inlineStr">
        <is>
          <t>ÖSTRA GÖINGE</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71747-2021</t>
        </is>
      </c>
      <c r="B3490" s="1" t="n">
        <v>44539</v>
      </c>
      <c r="C3490" s="1" t="n">
        <v>45962</v>
      </c>
      <c r="D3490" t="inlineStr">
        <is>
          <t>SKÅNE LÄN</t>
        </is>
      </c>
      <c r="E3490" t="inlineStr">
        <is>
          <t>ÖSTRA GÖINGE</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58751-2024</t>
        </is>
      </c>
      <c r="B3491" s="1" t="n">
        <v>45635.71762731481</v>
      </c>
      <c r="C3491" s="1" t="n">
        <v>45962</v>
      </c>
      <c r="D3491" t="inlineStr">
        <is>
          <t>SKÅNE LÄN</t>
        </is>
      </c>
      <c r="E3491" t="inlineStr">
        <is>
          <t>OSBY</t>
        </is>
      </c>
      <c r="G3491" t="n">
        <v>4.8</v>
      </c>
      <c r="H3491" t="n">
        <v>0</v>
      </c>
      <c r="I3491" t="n">
        <v>0</v>
      </c>
      <c r="J3491" t="n">
        <v>0</v>
      </c>
      <c r="K3491" t="n">
        <v>0</v>
      </c>
      <c r="L3491" t="n">
        <v>0</v>
      </c>
      <c r="M3491" t="n">
        <v>0</v>
      </c>
      <c r="N3491" t="n">
        <v>0</v>
      </c>
      <c r="O3491" t="n">
        <v>0</v>
      </c>
      <c r="P3491" t="n">
        <v>0</v>
      </c>
      <c r="Q3491" t="n">
        <v>0</v>
      </c>
      <c r="R3491" s="2" t="inlineStr"/>
    </row>
    <row r="3492" ht="15" customHeight="1">
      <c r="A3492" t="inlineStr">
        <is>
          <t>A 24164-2023</t>
        </is>
      </c>
      <c r="B3492" s="1" t="n">
        <v>45079</v>
      </c>
      <c r="C3492" s="1" t="n">
        <v>45962</v>
      </c>
      <c r="D3492" t="inlineStr">
        <is>
          <t>SKÅNE LÄN</t>
        </is>
      </c>
      <c r="E3492" t="inlineStr">
        <is>
          <t>KRISTIANSTAD</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24765-2023</t>
        </is>
      </c>
      <c r="B3493" s="1" t="n">
        <v>45084.6352662037</v>
      </c>
      <c r="C3493" s="1" t="n">
        <v>45962</v>
      </c>
      <c r="D3493" t="inlineStr">
        <is>
          <t>SKÅNE LÄN</t>
        </is>
      </c>
      <c r="E3493" t="inlineStr">
        <is>
          <t>ÖRKELLJUNGA</t>
        </is>
      </c>
      <c r="G3493" t="n">
        <v>1.5</v>
      </c>
      <c r="H3493" t="n">
        <v>0</v>
      </c>
      <c r="I3493" t="n">
        <v>0</v>
      </c>
      <c r="J3493" t="n">
        <v>0</v>
      </c>
      <c r="K3493" t="n">
        <v>0</v>
      </c>
      <c r="L3493" t="n">
        <v>0</v>
      </c>
      <c r="M3493" t="n">
        <v>0</v>
      </c>
      <c r="N3493" t="n">
        <v>0</v>
      </c>
      <c r="O3493" t="n">
        <v>0</v>
      </c>
      <c r="P3493" t="n">
        <v>0</v>
      </c>
      <c r="Q3493" t="n">
        <v>0</v>
      </c>
      <c r="R3493" s="2" t="inlineStr"/>
    </row>
    <row r="3494" ht="15" customHeight="1">
      <c r="A3494" t="inlineStr">
        <is>
          <t>A 29867-2023</t>
        </is>
      </c>
      <c r="B3494" s="1" t="n">
        <v>45107</v>
      </c>
      <c r="C3494" s="1" t="n">
        <v>45962</v>
      </c>
      <c r="D3494" t="inlineStr">
        <is>
          <t>SKÅNE LÄN</t>
        </is>
      </c>
      <c r="E3494" t="inlineStr">
        <is>
          <t>PERSTORP</t>
        </is>
      </c>
      <c r="G3494" t="n">
        <v>6.2</v>
      </c>
      <c r="H3494" t="n">
        <v>0</v>
      </c>
      <c r="I3494" t="n">
        <v>0</v>
      </c>
      <c r="J3494" t="n">
        <v>0</v>
      </c>
      <c r="K3494" t="n">
        <v>0</v>
      </c>
      <c r="L3494" t="n">
        <v>0</v>
      </c>
      <c r="M3494" t="n">
        <v>0</v>
      </c>
      <c r="N3494" t="n">
        <v>0</v>
      </c>
      <c r="O3494" t="n">
        <v>0</v>
      </c>
      <c r="P3494" t="n">
        <v>0</v>
      </c>
      <c r="Q3494" t="n">
        <v>0</v>
      </c>
      <c r="R3494" s="2" t="inlineStr"/>
    </row>
    <row r="3495" ht="15" customHeight="1">
      <c r="A3495" t="inlineStr">
        <is>
          <t>A 2974-2024</t>
        </is>
      </c>
      <c r="B3495" s="1" t="n">
        <v>45315</v>
      </c>
      <c r="C3495" s="1" t="n">
        <v>45962</v>
      </c>
      <c r="D3495" t="inlineStr">
        <is>
          <t>SKÅNE LÄN</t>
        </is>
      </c>
      <c r="E3495" t="inlineStr">
        <is>
          <t>KRISTIANSTAD</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39244-2022</t>
        </is>
      </c>
      <c r="B3496" s="1" t="n">
        <v>44817.60482638889</v>
      </c>
      <c r="C3496" s="1" t="n">
        <v>45962</v>
      </c>
      <c r="D3496" t="inlineStr">
        <is>
          <t>SKÅNE LÄN</t>
        </is>
      </c>
      <c r="E3496" t="inlineStr">
        <is>
          <t>KLIPPAN</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53302-2022</t>
        </is>
      </c>
      <c r="B3497" s="1" t="n">
        <v>44877</v>
      </c>
      <c r="C3497" s="1" t="n">
        <v>45962</v>
      </c>
      <c r="D3497" t="inlineStr">
        <is>
          <t>SKÅNE LÄN</t>
        </is>
      </c>
      <c r="E3497" t="inlineStr">
        <is>
          <t>HÄSSLEHOLM</t>
        </is>
      </c>
      <c r="G3497" t="n">
        <v>0.1</v>
      </c>
      <c r="H3497" t="n">
        <v>0</v>
      </c>
      <c r="I3497" t="n">
        <v>0</v>
      </c>
      <c r="J3497" t="n">
        <v>0</v>
      </c>
      <c r="K3497" t="n">
        <v>0</v>
      </c>
      <c r="L3497" t="n">
        <v>0</v>
      </c>
      <c r="M3497" t="n">
        <v>0</v>
      </c>
      <c r="N3497" t="n">
        <v>0</v>
      </c>
      <c r="O3497" t="n">
        <v>0</v>
      </c>
      <c r="P3497" t="n">
        <v>0</v>
      </c>
      <c r="Q3497" t="n">
        <v>0</v>
      </c>
      <c r="R3497" s="2" t="inlineStr"/>
    </row>
    <row r="3498" ht="15" customHeight="1">
      <c r="A3498" t="inlineStr">
        <is>
          <t>A 32610-2024</t>
        </is>
      </c>
      <c r="B3498" s="1" t="n">
        <v>45513</v>
      </c>
      <c r="C3498" s="1" t="n">
        <v>45962</v>
      </c>
      <c r="D3498" t="inlineStr">
        <is>
          <t>SKÅNE LÄN</t>
        </is>
      </c>
      <c r="E3498" t="inlineStr">
        <is>
          <t>BÅSTAD</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16838-2023</t>
        </is>
      </c>
      <c r="B3499" s="1" t="n">
        <v>45033.43649305555</v>
      </c>
      <c r="C3499" s="1" t="n">
        <v>45962</v>
      </c>
      <c r="D3499" t="inlineStr">
        <is>
          <t>SKÅNE LÄN</t>
        </is>
      </c>
      <c r="E3499" t="inlineStr">
        <is>
          <t>OSBY</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17715-2023</t>
        </is>
      </c>
      <c r="B3500" s="1" t="n">
        <v>45037</v>
      </c>
      <c r="C3500" s="1" t="n">
        <v>45962</v>
      </c>
      <c r="D3500" t="inlineStr">
        <is>
          <t>SKÅNE LÄN</t>
        </is>
      </c>
      <c r="E3500" t="inlineStr">
        <is>
          <t>OSBY</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27991-2024</t>
        </is>
      </c>
      <c r="B3501" s="1" t="n">
        <v>45476</v>
      </c>
      <c r="C3501" s="1" t="n">
        <v>45962</v>
      </c>
      <c r="D3501" t="inlineStr">
        <is>
          <t>SKÅNE LÄN</t>
        </is>
      </c>
      <c r="E3501" t="inlineStr">
        <is>
          <t>HÄSSLEHOLM</t>
        </is>
      </c>
      <c r="G3501" t="n">
        <v>5.8</v>
      </c>
      <c r="H3501" t="n">
        <v>0</v>
      </c>
      <c r="I3501" t="n">
        <v>0</v>
      </c>
      <c r="J3501" t="n">
        <v>0</v>
      </c>
      <c r="K3501" t="n">
        <v>0</v>
      </c>
      <c r="L3501" t="n">
        <v>0</v>
      </c>
      <c r="M3501" t="n">
        <v>0</v>
      </c>
      <c r="N3501" t="n">
        <v>0</v>
      </c>
      <c r="O3501" t="n">
        <v>0</v>
      </c>
      <c r="P3501" t="n">
        <v>0</v>
      </c>
      <c r="Q3501" t="n">
        <v>0</v>
      </c>
      <c r="R3501" s="2" t="inlineStr"/>
    </row>
    <row r="3502" ht="15" customHeight="1">
      <c r="A3502" t="inlineStr">
        <is>
          <t>A 55529-2024</t>
        </is>
      </c>
      <c r="B3502" s="1" t="n">
        <v>45622.48444444445</v>
      </c>
      <c r="C3502" s="1" t="n">
        <v>45962</v>
      </c>
      <c r="D3502" t="inlineStr">
        <is>
          <t>SKÅNE LÄN</t>
        </is>
      </c>
      <c r="E3502" t="inlineStr">
        <is>
          <t>ÄNGELHOLM</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32397-2023</t>
        </is>
      </c>
      <c r="B3503" s="1" t="n">
        <v>45120.63530092593</v>
      </c>
      <c r="C3503" s="1" t="n">
        <v>45962</v>
      </c>
      <c r="D3503" t="inlineStr">
        <is>
          <t>SKÅNE LÄN</t>
        </is>
      </c>
      <c r="E3503" t="inlineStr">
        <is>
          <t>KRISTIANSTAD</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20717-2023</t>
        </is>
      </c>
      <c r="B3504" s="1" t="n">
        <v>45055</v>
      </c>
      <c r="C3504" s="1" t="n">
        <v>45962</v>
      </c>
      <c r="D3504" t="inlineStr">
        <is>
          <t>SKÅNE LÄN</t>
        </is>
      </c>
      <c r="E3504" t="inlineStr">
        <is>
          <t>KLIPPAN</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22132-2024</t>
        </is>
      </c>
      <c r="B3505" s="1" t="n">
        <v>45444.37234953704</v>
      </c>
      <c r="C3505" s="1" t="n">
        <v>45962</v>
      </c>
      <c r="D3505" t="inlineStr">
        <is>
          <t>SKÅNE LÄN</t>
        </is>
      </c>
      <c r="E3505" t="inlineStr">
        <is>
          <t>HÄSSLEHOLM</t>
        </is>
      </c>
      <c r="G3505" t="n">
        <v>3.1</v>
      </c>
      <c r="H3505" t="n">
        <v>0</v>
      </c>
      <c r="I3505" t="n">
        <v>0</v>
      </c>
      <c r="J3505" t="n">
        <v>0</v>
      </c>
      <c r="K3505" t="n">
        <v>0</v>
      </c>
      <c r="L3505" t="n">
        <v>0</v>
      </c>
      <c r="M3505" t="n">
        <v>0</v>
      </c>
      <c r="N3505" t="n">
        <v>0</v>
      </c>
      <c r="O3505" t="n">
        <v>0</v>
      </c>
      <c r="P3505" t="n">
        <v>0</v>
      </c>
      <c r="Q3505" t="n">
        <v>0</v>
      </c>
      <c r="R3505" s="2" t="inlineStr"/>
    </row>
    <row r="3506" ht="15" customHeight="1">
      <c r="A3506" t="inlineStr">
        <is>
          <t>A 31946-2023</t>
        </is>
      </c>
      <c r="B3506" s="1" t="n">
        <v>45119.35158564815</v>
      </c>
      <c r="C3506" s="1" t="n">
        <v>45962</v>
      </c>
      <c r="D3506" t="inlineStr">
        <is>
          <t>SKÅNE LÄN</t>
        </is>
      </c>
      <c r="E3506" t="inlineStr">
        <is>
          <t>HÄSSLEHOLM</t>
        </is>
      </c>
      <c r="G3506" t="n">
        <v>0.3</v>
      </c>
      <c r="H3506" t="n">
        <v>0</v>
      </c>
      <c r="I3506" t="n">
        <v>0</v>
      </c>
      <c r="J3506" t="n">
        <v>0</v>
      </c>
      <c r="K3506" t="n">
        <v>0</v>
      </c>
      <c r="L3506" t="n">
        <v>0</v>
      </c>
      <c r="M3506" t="n">
        <v>0</v>
      </c>
      <c r="N3506" t="n">
        <v>0</v>
      </c>
      <c r="O3506" t="n">
        <v>0</v>
      </c>
      <c r="P3506" t="n">
        <v>0</v>
      </c>
      <c r="Q3506" t="n">
        <v>0</v>
      </c>
      <c r="R3506" s="2" t="inlineStr"/>
    </row>
    <row r="3507" ht="15" customHeight="1">
      <c r="A3507" t="inlineStr">
        <is>
          <t>A 9612-2025</t>
        </is>
      </c>
      <c r="B3507" s="1" t="n">
        <v>45715.65923611111</v>
      </c>
      <c r="C3507" s="1" t="n">
        <v>45962</v>
      </c>
      <c r="D3507" t="inlineStr">
        <is>
          <t>SKÅNE LÄN</t>
        </is>
      </c>
      <c r="E3507" t="inlineStr">
        <is>
          <t>HÖRBY</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53688-2024</t>
        </is>
      </c>
      <c r="B3508" s="1" t="n">
        <v>45615.36962962963</v>
      </c>
      <c r="C3508" s="1" t="n">
        <v>45962</v>
      </c>
      <c r="D3508" t="inlineStr">
        <is>
          <t>SKÅNE LÄN</t>
        </is>
      </c>
      <c r="E3508" t="inlineStr">
        <is>
          <t>ÖSTRA GÖINGE</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45641-2022</t>
        </is>
      </c>
      <c r="B3509" s="1" t="n">
        <v>44845</v>
      </c>
      <c r="C3509" s="1" t="n">
        <v>45962</v>
      </c>
      <c r="D3509" t="inlineStr">
        <is>
          <t>SKÅNE LÄN</t>
        </is>
      </c>
      <c r="E3509" t="inlineStr">
        <is>
          <t>KLIPPAN</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7584-2024</t>
        </is>
      </c>
      <c r="B3510" s="1" t="n">
        <v>45348</v>
      </c>
      <c r="C3510" s="1" t="n">
        <v>45962</v>
      </c>
      <c r="D3510" t="inlineStr">
        <is>
          <t>SKÅNE LÄN</t>
        </is>
      </c>
      <c r="E3510" t="inlineStr">
        <is>
          <t>SIMRISHAMN</t>
        </is>
      </c>
      <c r="G3510" t="n">
        <v>6.9</v>
      </c>
      <c r="H3510" t="n">
        <v>0</v>
      </c>
      <c r="I3510" t="n">
        <v>0</v>
      </c>
      <c r="J3510" t="n">
        <v>0</v>
      </c>
      <c r="K3510" t="n">
        <v>0</v>
      </c>
      <c r="L3510" t="n">
        <v>0</v>
      </c>
      <c r="M3510" t="n">
        <v>0</v>
      </c>
      <c r="N3510" t="n">
        <v>0</v>
      </c>
      <c r="O3510" t="n">
        <v>0</v>
      </c>
      <c r="P3510" t="n">
        <v>0</v>
      </c>
      <c r="Q3510" t="n">
        <v>0</v>
      </c>
      <c r="R3510" s="2" t="inlineStr"/>
    </row>
    <row r="3511" ht="15" customHeight="1">
      <c r="A3511" t="inlineStr">
        <is>
          <t>A 29170-2025</t>
        </is>
      </c>
      <c r="B3511" s="1" t="n">
        <v>45821.69766203704</v>
      </c>
      <c r="C3511" s="1" t="n">
        <v>45962</v>
      </c>
      <c r="D3511" t="inlineStr">
        <is>
          <t>SKÅNE LÄN</t>
        </is>
      </c>
      <c r="E3511" t="inlineStr">
        <is>
          <t>HÄSSLEHOLM</t>
        </is>
      </c>
      <c r="G3511" t="n">
        <v>3.1</v>
      </c>
      <c r="H3511" t="n">
        <v>0</v>
      </c>
      <c r="I3511" t="n">
        <v>0</v>
      </c>
      <c r="J3511" t="n">
        <v>0</v>
      </c>
      <c r="K3511" t="n">
        <v>0</v>
      </c>
      <c r="L3511" t="n">
        <v>0</v>
      </c>
      <c r="M3511" t="n">
        <v>0</v>
      </c>
      <c r="N3511" t="n">
        <v>0</v>
      </c>
      <c r="O3511" t="n">
        <v>0</v>
      </c>
      <c r="P3511" t="n">
        <v>0</v>
      </c>
      <c r="Q3511" t="n">
        <v>0</v>
      </c>
      <c r="R3511" s="2" t="inlineStr"/>
    </row>
    <row r="3512" ht="15" customHeight="1">
      <c r="A3512" t="inlineStr">
        <is>
          <t>A 15970-2024</t>
        </is>
      </c>
      <c r="B3512" s="1" t="n">
        <v>45405</v>
      </c>
      <c r="C3512" s="1" t="n">
        <v>45962</v>
      </c>
      <c r="D3512" t="inlineStr">
        <is>
          <t>SKÅNE LÄN</t>
        </is>
      </c>
      <c r="E3512" t="inlineStr">
        <is>
          <t>HÖRBY</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18682-2023</t>
        </is>
      </c>
      <c r="B3513" s="1" t="n">
        <v>45043.60021990741</v>
      </c>
      <c r="C3513" s="1" t="n">
        <v>45962</v>
      </c>
      <c r="D3513" t="inlineStr">
        <is>
          <t>SKÅNE LÄN</t>
        </is>
      </c>
      <c r="E3513" t="inlineStr">
        <is>
          <t>SIMRISHAMN</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50663-2024</t>
        </is>
      </c>
      <c r="B3514" s="1" t="n">
        <v>45601.74481481482</v>
      </c>
      <c r="C3514" s="1" t="n">
        <v>45962</v>
      </c>
      <c r="D3514" t="inlineStr">
        <is>
          <t>SKÅNE LÄN</t>
        </is>
      </c>
      <c r="E3514" t="inlineStr">
        <is>
          <t>ÖSTRA GÖINGE</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18735-2023</t>
        </is>
      </c>
      <c r="B3515" s="1" t="n">
        <v>45043.68783564815</v>
      </c>
      <c r="C3515" s="1" t="n">
        <v>45962</v>
      </c>
      <c r="D3515" t="inlineStr">
        <is>
          <t>SKÅNE LÄN</t>
        </is>
      </c>
      <c r="E3515" t="inlineStr">
        <is>
          <t>HÖRBY</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28914-2025</t>
        </is>
      </c>
      <c r="B3516" s="1" t="n">
        <v>45820</v>
      </c>
      <c r="C3516" s="1" t="n">
        <v>45962</v>
      </c>
      <c r="D3516" t="inlineStr">
        <is>
          <t>SKÅNE LÄN</t>
        </is>
      </c>
      <c r="E3516" t="inlineStr">
        <is>
          <t>ÖSTRA GÖINGE</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37068-2023</t>
        </is>
      </c>
      <c r="B3517" s="1" t="n">
        <v>45155</v>
      </c>
      <c r="C3517" s="1" t="n">
        <v>45962</v>
      </c>
      <c r="D3517" t="inlineStr">
        <is>
          <t>SKÅNE LÄN</t>
        </is>
      </c>
      <c r="E3517" t="inlineStr">
        <is>
          <t>KLIPPAN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34468-2023</t>
        </is>
      </c>
      <c r="B3518" s="1" t="n">
        <v>45139</v>
      </c>
      <c r="C3518" s="1" t="n">
        <v>45962</v>
      </c>
      <c r="D3518" t="inlineStr">
        <is>
          <t>SKÅNE LÄN</t>
        </is>
      </c>
      <c r="E3518" t="inlineStr">
        <is>
          <t>ESLÖV</t>
        </is>
      </c>
      <c r="G3518" t="n">
        <v>5.5</v>
      </c>
      <c r="H3518" t="n">
        <v>0</v>
      </c>
      <c r="I3518" t="n">
        <v>0</v>
      </c>
      <c r="J3518" t="n">
        <v>0</v>
      </c>
      <c r="K3518" t="n">
        <v>0</v>
      </c>
      <c r="L3518" t="n">
        <v>0</v>
      </c>
      <c r="M3518" t="n">
        <v>0</v>
      </c>
      <c r="N3518" t="n">
        <v>0</v>
      </c>
      <c r="O3518" t="n">
        <v>0</v>
      </c>
      <c r="P3518" t="n">
        <v>0</v>
      </c>
      <c r="Q3518" t="n">
        <v>0</v>
      </c>
      <c r="R3518" s="2" t="inlineStr"/>
    </row>
    <row r="3519" ht="15" customHeight="1">
      <c r="A3519" t="inlineStr">
        <is>
          <t>A 28915-2025</t>
        </is>
      </c>
      <c r="B3519" s="1" t="n">
        <v>45820</v>
      </c>
      <c r="C3519" s="1" t="n">
        <v>45962</v>
      </c>
      <c r="D3519" t="inlineStr">
        <is>
          <t>SKÅNE LÄN</t>
        </is>
      </c>
      <c r="E3519" t="inlineStr">
        <is>
          <t>ÖSTRA GÖINGE</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28918-2025</t>
        </is>
      </c>
      <c r="B3520" s="1" t="n">
        <v>45820</v>
      </c>
      <c r="C3520" s="1" t="n">
        <v>45962</v>
      </c>
      <c r="D3520" t="inlineStr">
        <is>
          <t>SKÅNE LÄN</t>
        </is>
      </c>
      <c r="E3520" t="inlineStr">
        <is>
          <t>ÖSTRA GÖINGE</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15856-2022</t>
        </is>
      </c>
      <c r="B3521" s="1" t="n">
        <v>44664</v>
      </c>
      <c r="C3521" s="1" t="n">
        <v>45962</v>
      </c>
      <c r="D3521" t="inlineStr">
        <is>
          <t>SKÅNE LÄN</t>
        </is>
      </c>
      <c r="E3521" t="inlineStr">
        <is>
          <t>SJÖBO</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32210-2024</t>
        </is>
      </c>
      <c r="B3522" s="1" t="n">
        <v>45511.67777777778</v>
      </c>
      <c r="C3522" s="1" t="n">
        <v>45962</v>
      </c>
      <c r="D3522" t="inlineStr">
        <is>
          <t>SKÅNE LÄN</t>
        </is>
      </c>
      <c r="E3522" t="inlineStr">
        <is>
          <t>HÄSSLEHOLM</t>
        </is>
      </c>
      <c r="G3522" t="n">
        <v>0.8</v>
      </c>
      <c r="H3522" t="n">
        <v>0</v>
      </c>
      <c r="I3522" t="n">
        <v>0</v>
      </c>
      <c r="J3522" t="n">
        <v>0</v>
      </c>
      <c r="K3522" t="n">
        <v>0</v>
      </c>
      <c r="L3522" t="n">
        <v>0</v>
      </c>
      <c r="M3522" t="n">
        <v>0</v>
      </c>
      <c r="N3522" t="n">
        <v>0</v>
      </c>
      <c r="O3522" t="n">
        <v>0</v>
      </c>
      <c r="P3522" t="n">
        <v>0</v>
      </c>
      <c r="Q3522" t="n">
        <v>0</v>
      </c>
      <c r="R3522" s="2" t="inlineStr"/>
    </row>
    <row r="3523" ht="15" customHeight="1">
      <c r="A3523" t="inlineStr">
        <is>
          <t>A 40762-2021</t>
        </is>
      </c>
      <c r="B3523" s="1" t="n">
        <v>44420</v>
      </c>
      <c r="C3523" s="1" t="n">
        <v>45962</v>
      </c>
      <c r="D3523" t="inlineStr">
        <is>
          <t>SKÅNE LÄN</t>
        </is>
      </c>
      <c r="E3523" t="inlineStr">
        <is>
          <t>KLIPPAN</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27758-2022</t>
        </is>
      </c>
      <c r="B3524" s="1" t="n">
        <v>44743</v>
      </c>
      <c r="C3524" s="1" t="n">
        <v>45962</v>
      </c>
      <c r="D3524" t="inlineStr">
        <is>
          <t>SKÅNE LÄN</t>
        </is>
      </c>
      <c r="E3524" t="inlineStr">
        <is>
          <t>OSBY</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67974-2020</t>
        </is>
      </c>
      <c r="B3525" s="1" t="n">
        <v>44182</v>
      </c>
      <c r="C3525" s="1" t="n">
        <v>45962</v>
      </c>
      <c r="D3525" t="inlineStr">
        <is>
          <t>SKÅNE LÄN</t>
        </is>
      </c>
      <c r="E3525" t="inlineStr">
        <is>
          <t>HÄSSLEHOLM</t>
        </is>
      </c>
      <c r="G3525" t="n">
        <v>9</v>
      </c>
      <c r="H3525" t="n">
        <v>0</v>
      </c>
      <c r="I3525" t="n">
        <v>0</v>
      </c>
      <c r="J3525" t="n">
        <v>0</v>
      </c>
      <c r="K3525" t="n">
        <v>0</v>
      </c>
      <c r="L3525" t="n">
        <v>0</v>
      </c>
      <c r="M3525" t="n">
        <v>0</v>
      </c>
      <c r="N3525" t="n">
        <v>0</v>
      </c>
      <c r="O3525" t="n">
        <v>0</v>
      </c>
      <c r="P3525" t="n">
        <v>0</v>
      </c>
      <c r="Q3525" t="n">
        <v>0</v>
      </c>
      <c r="R3525" s="2" t="inlineStr"/>
    </row>
    <row r="3526" ht="15" customHeight="1">
      <c r="A3526" t="inlineStr">
        <is>
          <t>A 1871-2024</t>
        </is>
      </c>
      <c r="B3526" s="1" t="n">
        <v>45307</v>
      </c>
      <c r="C3526" s="1" t="n">
        <v>45962</v>
      </c>
      <c r="D3526" t="inlineStr">
        <is>
          <t>SKÅNE LÄN</t>
        </is>
      </c>
      <c r="E3526" t="inlineStr">
        <is>
          <t>KRISTIANSTAD</t>
        </is>
      </c>
      <c r="F3526" t="inlineStr">
        <is>
          <t>Övriga Aktiebolag</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58747-2024</t>
        </is>
      </c>
      <c r="B3527" s="1" t="n">
        <v>45635.71258101852</v>
      </c>
      <c r="C3527" s="1" t="n">
        <v>45962</v>
      </c>
      <c r="D3527" t="inlineStr">
        <is>
          <t>SKÅNE LÄN</t>
        </is>
      </c>
      <c r="E3527" t="inlineStr">
        <is>
          <t>OSBY</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21636-2024</t>
        </is>
      </c>
      <c r="B3528" s="1" t="n">
        <v>45442</v>
      </c>
      <c r="C3528" s="1" t="n">
        <v>45962</v>
      </c>
      <c r="D3528" t="inlineStr">
        <is>
          <t>SKÅNE LÄN</t>
        </is>
      </c>
      <c r="E3528" t="inlineStr">
        <is>
          <t>KLIPPAN</t>
        </is>
      </c>
      <c r="G3528" t="n">
        <v>6.3</v>
      </c>
      <c r="H3528" t="n">
        <v>0</v>
      </c>
      <c r="I3528" t="n">
        <v>0</v>
      </c>
      <c r="J3528" t="n">
        <v>0</v>
      </c>
      <c r="K3528" t="n">
        <v>0</v>
      </c>
      <c r="L3528" t="n">
        <v>0</v>
      </c>
      <c r="M3528" t="n">
        <v>0</v>
      </c>
      <c r="N3528" t="n">
        <v>0</v>
      </c>
      <c r="O3528" t="n">
        <v>0</v>
      </c>
      <c r="P3528" t="n">
        <v>0</v>
      </c>
      <c r="Q3528" t="n">
        <v>0</v>
      </c>
      <c r="R3528" s="2" t="inlineStr"/>
    </row>
    <row r="3529" ht="15" customHeight="1">
      <c r="A3529" t="inlineStr">
        <is>
          <t>A 24232-2023</t>
        </is>
      </c>
      <c r="B3529" s="1" t="n">
        <v>45079.60946759259</v>
      </c>
      <c r="C3529" s="1" t="n">
        <v>45962</v>
      </c>
      <c r="D3529" t="inlineStr">
        <is>
          <t>SKÅNE LÄN</t>
        </is>
      </c>
      <c r="E3529" t="inlineStr">
        <is>
          <t>OSBY</t>
        </is>
      </c>
      <c r="F3529" t="inlineStr">
        <is>
          <t>Kommuner</t>
        </is>
      </c>
      <c r="G3529" t="n">
        <v>4.9</v>
      </c>
      <c r="H3529" t="n">
        <v>0</v>
      </c>
      <c r="I3529" t="n">
        <v>0</v>
      </c>
      <c r="J3529" t="n">
        <v>0</v>
      </c>
      <c r="K3529" t="n">
        <v>0</v>
      </c>
      <c r="L3529" t="n">
        <v>0</v>
      </c>
      <c r="M3529" t="n">
        <v>0</v>
      </c>
      <c r="N3529" t="n">
        <v>0</v>
      </c>
      <c r="O3529" t="n">
        <v>0</v>
      </c>
      <c r="P3529" t="n">
        <v>0</v>
      </c>
      <c r="Q3529" t="n">
        <v>0</v>
      </c>
      <c r="R3529" s="2" t="inlineStr"/>
    </row>
    <row r="3530" ht="15" customHeight="1">
      <c r="A3530" t="inlineStr">
        <is>
          <t>A 45169-2024</t>
        </is>
      </c>
      <c r="B3530" s="1" t="n">
        <v>45575.65561342592</v>
      </c>
      <c r="C3530" s="1" t="n">
        <v>45962</v>
      </c>
      <c r="D3530" t="inlineStr">
        <is>
          <t>SKÅNE LÄN</t>
        </is>
      </c>
      <c r="E3530" t="inlineStr">
        <is>
          <t>KRISTIANSTAD</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45191-2024</t>
        </is>
      </c>
      <c r="B3531" s="1" t="n">
        <v>45575.67569444444</v>
      </c>
      <c r="C3531" s="1" t="n">
        <v>45962</v>
      </c>
      <c r="D3531" t="inlineStr">
        <is>
          <t>SKÅNE LÄN</t>
        </is>
      </c>
      <c r="E3531" t="inlineStr">
        <is>
          <t>OSBY</t>
        </is>
      </c>
      <c r="G3531" t="n">
        <v>6.4</v>
      </c>
      <c r="H3531" t="n">
        <v>0</v>
      </c>
      <c r="I3531" t="n">
        <v>0</v>
      </c>
      <c r="J3531" t="n">
        <v>0</v>
      </c>
      <c r="K3531" t="n">
        <v>0</v>
      </c>
      <c r="L3531" t="n">
        <v>0</v>
      </c>
      <c r="M3531" t="n">
        <v>0</v>
      </c>
      <c r="N3531" t="n">
        <v>0</v>
      </c>
      <c r="O3531" t="n">
        <v>0</v>
      </c>
      <c r="P3531" t="n">
        <v>0</v>
      </c>
      <c r="Q3531" t="n">
        <v>0</v>
      </c>
      <c r="R3531" s="2" t="inlineStr"/>
    </row>
    <row r="3532" ht="15" customHeight="1">
      <c r="A3532" t="inlineStr">
        <is>
          <t>A 48798-2023</t>
        </is>
      </c>
      <c r="B3532" s="1" t="n">
        <v>45209.25318287037</v>
      </c>
      <c r="C3532" s="1" t="n">
        <v>45962</v>
      </c>
      <c r="D3532" t="inlineStr">
        <is>
          <t>SKÅNE LÄN</t>
        </is>
      </c>
      <c r="E3532" t="inlineStr">
        <is>
          <t>HÄSSLEHOLM</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22425-2024</t>
        </is>
      </c>
      <c r="B3533" s="1" t="n">
        <v>45446</v>
      </c>
      <c r="C3533" s="1" t="n">
        <v>45962</v>
      </c>
      <c r="D3533" t="inlineStr">
        <is>
          <t>SKÅNE LÄN</t>
        </is>
      </c>
      <c r="E3533" t="inlineStr">
        <is>
          <t>SJÖBO</t>
        </is>
      </c>
      <c r="G3533" t="n">
        <v>3.2</v>
      </c>
      <c r="H3533" t="n">
        <v>0</v>
      </c>
      <c r="I3533" t="n">
        <v>0</v>
      </c>
      <c r="J3533" t="n">
        <v>0</v>
      </c>
      <c r="K3533" t="n">
        <v>0</v>
      </c>
      <c r="L3533" t="n">
        <v>0</v>
      </c>
      <c r="M3533" t="n">
        <v>0</v>
      </c>
      <c r="N3533" t="n">
        <v>0</v>
      </c>
      <c r="O3533" t="n">
        <v>0</v>
      </c>
      <c r="P3533" t="n">
        <v>0</v>
      </c>
      <c r="Q3533" t="n">
        <v>0</v>
      </c>
      <c r="R3533" s="2" t="inlineStr"/>
    </row>
    <row r="3534" ht="15" customHeight="1">
      <c r="A3534" t="inlineStr">
        <is>
          <t>A 13138-2023</t>
        </is>
      </c>
      <c r="B3534" s="1" t="n">
        <v>45002</v>
      </c>
      <c r="C3534" s="1" t="n">
        <v>45962</v>
      </c>
      <c r="D3534" t="inlineStr">
        <is>
          <t>SKÅNE LÄN</t>
        </is>
      </c>
      <c r="E3534" t="inlineStr">
        <is>
          <t>OSBY</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13143-2023</t>
        </is>
      </c>
      <c r="B3535" s="1" t="n">
        <v>45002</v>
      </c>
      <c r="C3535" s="1" t="n">
        <v>45962</v>
      </c>
      <c r="D3535" t="inlineStr">
        <is>
          <t>SKÅNE LÄN</t>
        </is>
      </c>
      <c r="E3535" t="inlineStr">
        <is>
          <t>OSBY</t>
        </is>
      </c>
      <c r="G3535" t="n">
        <v>13.5</v>
      </c>
      <c r="H3535" t="n">
        <v>0</v>
      </c>
      <c r="I3535" t="n">
        <v>0</v>
      </c>
      <c r="J3535" t="n">
        <v>0</v>
      </c>
      <c r="K3535" t="n">
        <v>0</v>
      </c>
      <c r="L3535" t="n">
        <v>0</v>
      </c>
      <c r="M3535" t="n">
        <v>0</v>
      </c>
      <c r="N3535" t="n">
        <v>0</v>
      </c>
      <c r="O3535" t="n">
        <v>0</v>
      </c>
      <c r="P3535" t="n">
        <v>0</v>
      </c>
      <c r="Q3535" t="n">
        <v>0</v>
      </c>
      <c r="R3535" s="2" t="inlineStr"/>
    </row>
    <row r="3536" ht="15" customHeight="1">
      <c r="A3536" t="inlineStr">
        <is>
          <t>A 48844-2023</t>
        </is>
      </c>
      <c r="B3536" s="1" t="n">
        <v>45209</v>
      </c>
      <c r="C3536" s="1" t="n">
        <v>45962</v>
      </c>
      <c r="D3536" t="inlineStr">
        <is>
          <t>SKÅNE LÄN</t>
        </is>
      </c>
      <c r="E3536" t="inlineStr">
        <is>
          <t>HÄSSLEHOLM</t>
        </is>
      </c>
      <c r="G3536" t="n">
        <v>4</v>
      </c>
      <c r="H3536" t="n">
        <v>0</v>
      </c>
      <c r="I3536" t="n">
        <v>0</v>
      </c>
      <c r="J3536" t="n">
        <v>0</v>
      </c>
      <c r="K3536" t="n">
        <v>0</v>
      </c>
      <c r="L3536" t="n">
        <v>0</v>
      </c>
      <c r="M3536" t="n">
        <v>0</v>
      </c>
      <c r="N3536" t="n">
        <v>0</v>
      </c>
      <c r="O3536" t="n">
        <v>0</v>
      </c>
      <c r="P3536" t="n">
        <v>0</v>
      </c>
      <c r="Q3536" t="n">
        <v>0</v>
      </c>
      <c r="R3536" s="2" t="inlineStr"/>
    </row>
    <row r="3537" ht="15" customHeight="1">
      <c r="A3537" t="inlineStr">
        <is>
          <t>A 28858-2025</t>
        </is>
      </c>
      <c r="B3537" s="1" t="n">
        <v>45820.58746527778</v>
      </c>
      <c r="C3537" s="1" t="n">
        <v>45962</v>
      </c>
      <c r="D3537" t="inlineStr">
        <is>
          <t>SKÅNE LÄN</t>
        </is>
      </c>
      <c r="E3537" t="inlineStr">
        <is>
          <t>ÖSTRA GÖINGE</t>
        </is>
      </c>
      <c r="G3537" t="n">
        <v>3.3</v>
      </c>
      <c r="H3537" t="n">
        <v>0</v>
      </c>
      <c r="I3537" t="n">
        <v>0</v>
      </c>
      <c r="J3537" t="n">
        <v>0</v>
      </c>
      <c r="K3537" t="n">
        <v>0</v>
      </c>
      <c r="L3537" t="n">
        <v>0</v>
      </c>
      <c r="M3537" t="n">
        <v>0</v>
      </c>
      <c r="N3537" t="n">
        <v>0</v>
      </c>
      <c r="O3537" t="n">
        <v>0</v>
      </c>
      <c r="P3537" t="n">
        <v>0</v>
      </c>
      <c r="Q3537" t="n">
        <v>0</v>
      </c>
      <c r="R3537" s="2" t="inlineStr"/>
    </row>
    <row r="3538" ht="15" customHeight="1">
      <c r="A3538" t="inlineStr">
        <is>
          <t>A 48877-2024</t>
        </is>
      </c>
      <c r="B3538" s="1" t="n">
        <v>45594.31729166667</v>
      </c>
      <c r="C3538" s="1" t="n">
        <v>45962</v>
      </c>
      <c r="D3538" t="inlineStr">
        <is>
          <t>SKÅNE LÄN</t>
        </is>
      </c>
      <c r="E3538" t="inlineStr">
        <is>
          <t>HÄSSLEHOLM</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2743-2023</t>
        </is>
      </c>
      <c r="B3539" s="1" t="n">
        <v>44944</v>
      </c>
      <c r="C3539" s="1" t="n">
        <v>45962</v>
      </c>
      <c r="D3539" t="inlineStr">
        <is>
          <t>SKÅNE LÄN</t>
        </is>
      </c>
      <c r="E3539" t="inlineStr">
        <is>
          <t>HÄSSLEHOLM</t>
        </is>
      </c>
      <c r="F3539" t="inlineStr">
        <is>
          <t>Sveaskog</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2752-2023</t>
        </is>
      </c>
      <c r="B3540" s="1" t="n">
        <v>44944</v>
      </c>
      <c r="C3540" s="1" t="n">
        <v>45962</v>
      </c>
      <c r="D3540" t="inlineStr">
        <is>
          <t>SKÅNE LÄN</t>
        </is>
      </c>
      <c r="E3540" t="inlineStr">
        <is>
          <t>HÖRBY</t>
        </is>
      </c>
      <c r="F3540" t="inlineStr">
        <is>
          <t>Sveaskog</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28911-2025</t>
        </is>
      </c>
      <c r="B3541" s="1" t="n">
        <v>45820.65574074074</v>
      </c>
      <c r="C3541" s="1" t="n">
        <v>45962</v>
      </c>
      <c r="D3541" t="inlineStr">
        <is>
          <t>SKÅNE LÄN</t>
        </is>
      </c>
      <c r="E3541" t="inlineStr">
        <is>
          <t>ÖSTRA GÖINGE</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32972-2024</t>
        </is>
      </c>
      <c r="B3542" s="1" t="n">
        <v>45517.42064814815</v>
      </c>
      <c r="C3542" s="1" t="n">
        <v>45962</v>
      </c>
      <c r="D3542" t="inlineStr">
        <is>
          <t>SKÅNE LÄN</t>
        </is>
      </c>
      <c r="E3542" t="inlineStr">
        <is>
          <t>LUND</t>
        </is>
      </c>
      <c r="F3542" t="inlineStr">
        <is>
          <t>Kommuner</t>
        </is>
      </c>
      <c r="G3542" t="n">
        <v>20.7</v>
      </c>
      <c r="H3542" t="n">
        <v>0</v>
      </c>
      <c r="I3542" t="n">
        <v>0</v>
      </c>
      <c r="J3542" t="n">
        <v>0</v>
      </c>
      <c r="K3542" t="n">
        <v>0</v>
      </c>
      <c r="L3542" t="n">
        <v>0</v>
      </c>
      <c r="M3542" t="n">
        <v>0</v>
      </c>
      <c r="N3542" t="n">
        <v>0</v>
      </c>
      <c r="O3542" t="n">
        <v>0</v>
      </c>
      <c r="P3542" t="n">
        <v>0</v>
      </c>
      <c r="Q3542" t="n">
        <v>0</v>
      </c>
      <c r="R3542" s="2" t="inlineStr"/>
    </row>
    <row r="3543" ht="15" customHeight="1">
      <c r="A3543" t="inlineStr">
        <is>
          <t>A 13070-2023</t>
        </is>
      </c>
      <c r="B3543" s="1" t="n">
        <v>45002</v>
      </c>
      <c r="C3543" s="1" t="n">
        <v>45962</v>
      </c>
      <c r="D3543" t="inlineStr">
        <is>
          <t>SKÅNE LÄN</t>
        </is>
      </c>
      <c r="E3543" t="inlineStr">
        <is>
          <t>KRISTIANSTAD</t>
        </is>
      </c>
      <c r="G3543" t="n">
        <v>4.3</v>
      </c>
      <c r="H3543" t="n">
        <v>0</v>
      </c>
      <c r="I3543" t="n">
        <v>0</v>
      </c>
      <c r="J3543" t="n">
        <v>0</v>
      </c>
      <c r="K3543" t="n">
        <v>0</v>
      </c>
      <c r="L3543" t="n">
        <v>0</v>
      </c>
      <c r="M3543" t="n">
        <v>0</v>
      </c>
      <c r="N3543" t="n">
        <v>0</v>
      </c>
      <c r="O3543" t="n">
        <v>0</v>
      </c>
      <c r="P3543" t="n">
        <v>0</v>
      </c>
      <c r="Q3543" t="n">
        <v>0</v>
      </c>
      <c r="R3543" s="2" t="inlineStr"/>
    </row>
    <row r="3544" ht="15" customHeight="1">
      <c r="A3544" t="inlineStr">
        <is>
          <t>A 45984-2021</t>
        </is>
      </c>
      <c r="B3544" s="1" t="n">
        <v>44441</v>
      </c>
      <c r="C3544" s="1" t="n">
        <v>45962</v>
      </c>
      <c r="D3544" t="inlineStr">
        <is>
          <t>SKÅNE LÄN</t>
        </is>
      </c>
      <c r="E3544" t="inlineStr">
        <is>
          <t>HÄSSLEHOLM</t>
        </is>
      </c>
      <c r="G3544" t="n">
        <v>2.1</v>
      </c>
      <c r="H3544" t="n">
        <v>0</v>
      </c>
      <c r="I3544" t="n">
        <v>0</v>
      </c>
      <c r="J3544" t="n">
        <v>0</v>
      </c>
      <c r="K3544" t="n">
        <v>0</v>
      </c>
      <c r="L3544" t="n">
        <v>0</v>
      </c>
      <c r="M3544" t="n">
        <v>0</v>
      </c>
      <c r="N3544" t="n">
        <v>0</v>
      </c>
      <c r="O3544" t="n">
        <v>0</v>
      </c>
      <c r="P3544" t="n">
        <v>0</v>
      </c>
      <c r="Q3544" t="n">
        <v>0</v>
      </c>
      <c r="R3544" s="2" t="inlineStr"/>
    </row>
    <row r="3545" ht="15" customHeight="1">
      <c r="A3545" t="inlineStr">
        <is>
          <t>A 8749-2024</t>
        </is>
      </c>
      <c r="B3545" s="1" t="n">
        <v>45356.50387731481</v>
      </c>
      <c r="C3545" s="1" t="n">
        <v>45962</v>
      </c>
      <c r="D3545" t="inlineStr">
        <is>
          <t>SKÅNE LÄN</t>
        </is>
      </c>
      <c r="E3545" t="inlineStr">
        <is>
          <t>HÄSSLEHOLM</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8752-2024</t>
        </is>
      </c>
      <c r="B3546" s="1" t="n">
        <v>45356</v>
      </c>
      <c r="C3546" s="1" t="n">
        <v>45962</v>
      </c>
      <c r="D3546" t="inlineStr">
        <is>
          <t>SKÅNE LÄN</t>
        </is>
      </c>
      <c r="E3546" t="inlineStr">
        <is>
          <t>HÄSSLEHOLM</t>
        </is>
      </c>
      <c r="G3546" t="n">
        <v>3.4</v>
      </c>
      <c r="H3546" t="n">
        <v>0</v>
      </c>
      <c r="I3546" t="n">
        <v>0</v>
      </c>
      <c r="J3546" t="n">
        <v>0</v>
      </c>
      <c r="K3546" t="n">
        <v>0</v>
      </c>
      <c r="L3546" t="n">
        <v>0</v>
      </c>
      <c r="M3546" t="n">
        <v>0</v>
      </c>
      <c r="N3546" t="n">
        <v>0</v>
      </c>
      <c r="O3546" t="n">
        <v>0</v>
      </c>
      <c r="P3546" t="n">
        <v>0</v>
      </c>
      <c r="Q3546" t="n">
        <v>0</v>
      </c>
      <c r="R3546" s="2" t="inlineStr"/>
    </row>
    <row r="3547" ht="15" customHeight="1">
      <c r="A3547" t="inlineStr">
        <is>
          <t>A 8759-2024</t>
        </is>
      </c>
      <c r="B3547" s="1" t="n">
        <v>45356.52271990741</v>
      </c>
      <c r="C3547" s="1" t="n">
        <v>45962</v>
      </c>
      <c r="D3547" t="inlineStr">
        <is>
          <t>SKÅNE LÄN</t>
        </is>
      </c>
      <c r="E3547" t="inlineStr">
        <is>
          <t>HÄSSLEHOLM</t>
        </is>
      </c>
      <c r="G3547" t="n">
        <v>5.7</v>
      </c>
      <c r="H3547" t="n">
        <v>0</v>
      </c>
      <c r="I3547" t="n">
        <v>0</v>
      </c>
      <c r="J3547" t="n">
        <v>0</v>
      </c>
      <c r="K3547" t="n">
        <v>0</v>
      </c>
      <c r="L3547" t="n">
        <v>0</v>
      </c>
      <c r="M3547" t="n">
        <v>0</v>
      </c>
      <c r="N3547" t="n">
        <v>0</v>
      </c>
      <c r="O3547" t="n">
        <v>0</v>
      </c>
      <c r="P3547" t="n">
        <v>0</v>
      </c>
      <c r="Q3547" t="n">
        <v>0</v>
      </c>
      <c r="R3547" s="2" t="inlineStr"/>
    </row>
    <row r="3548" ht="15" customHeight="1">
      <c r="A3548" t="inlineStr">
        <is>
          <t>A 8367-2023</t>
        </is>
      </c>
      <c r="B3548" s="1" t="n">
        <v>44977</v>
      </c>
      <c r="C3548" s="1" t="n">
        <v>45962</v>
      </c>
      <c r="D3548" t="inlineStr">
        <is>
          <t>SKÅNE LÄN</t>
        </is>
      </c>
      <c r="E3548" t="inlineStr">
        <is>
          <t>ÖSTRA GÖINGE</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8378-2023</t>
        </is>
      </c>
      <c r="B3549" s="1" t="n">
        <v>44971</v>
      </c>
      <c r="C3549" s="1" t="n">
        <v>45962</v>
      </c>
      <c r="D3549" t="inlineStr">
        <is>
          <t>SKÅNE LÄN</t>
        </is>
      </c>
      <c r="E3549" t="inlineStr">
        <is>
          <t>HÄSSLEHOLM</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29171-2025</t>
        </is>
      </c>
      <c r="B3550" s="1" t="n">
        <v>45821.69863425926</v>
      </c>
      <c r="C3550" s="1" t="n">
        <v>45962</v>
      </c>
      <c r="D3550" t="inlineStr">
        <is>
          <t>SKÅNE LÄN</t>
        </is>
      </c>
      <c r="E3550" t="inlineStr">
        <is>
          <t>HÄSSLEHOLM</t>
        </is>
      </c>
      <c r="G3550" t="n">
        <v>2.6</v>
      </c>
      <c r="H3550" t="n">
        <v>0</v>
      </c>
      <c r="I3550" t="n">
        <v>0</v>
      </c>
      <c r="J3550" t="n">
        <v>0</v>
      </c>
      <c r="K3550" t="n">
        <v>0</v>
      </c>
      <c r="L3550" t="n">
        <v>0</v>
      </c>
      <c r="M3550" t="n">
        <v>0</v>
      </c>
      <c r="N3550" t="n">
        <v>0</v>
      </c>
      <c r="O3550" t="n">
        <v>0</v>
      </c>
      <c r="P3550" t="n">
        <v>0</v>
      </c>
      <c r="Q3550" t="n">
        <v>0</v>
      </c>
      <c r="R3550" s="2" t="inlineStr"/>
    </row>
    <row r="3551" ht="15" customHeight="1">
      <c r="A3551" t="inlineStr">
        <is>
          <t>A 14849-2024</t>
        </is>
      </c>
      <c r="B3551" s="1" t="n">
        <v>45398</v>
      </c>
      <c r="C3551" s="1" t="n">
        <v>45962</v>
      </c>
      <c r="D3551" t="inlineStr">
        <is>
          <t>SKÅNE LÄN</t>
        </is>
      </c>
      <c r="E3551" t="inlineStr">
        <is>
          <t>HÖÖR</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48624-2021</t>
        </is>
      </c>
      <c r="B3552" s="1" t="n">
        <v>44452</v>
      </c>
      <c r="C3552" s="1" t="n">
        <v>45962</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29168-2025</t>
        </is>
      </c>
      <c r="B3553" s="1" t="n">
        <v>45821.69547453704</v>
      </c>
      <c r="C3553" s="1" t="n">
        <v>45962</v>
      </c>
      <c r="D3553" t="inlineStr">
        <is>
          <t>SKÅNE LÄN</t>
        </is>
      </c>
      <c r="E3553" t="inlineStr">
        <is>
          <t>HÄSSLEHOLM</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28693-2025</t>
        </is>
      </c>
      <c r="B3554" s="1" t="n">
        <v>45819.83893518519</v>
      </c>
      <c r="C3554" s="1" t="n">
        <v>45962</v>
      </c>
      <c r="D3554" t="inlineStr">
        <is>
          <t>SKÅNE LÄN</t>
        </is>
      </c>
      <c r="E3554" t="inlineStr">
        <is>
          <t>ÖRKELLJUNGA</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2114-2025</t>
        </is>
      </c>
      <c r="B3555" s="1" t="n">
        <v>45672.6284375</v>
      </c>
      <c r="C3555" s="1" t="n">
        <v>45962</v>
      </c>
      <c r="D3555" t="inlineStr">
        <is>
          <t>SKÅNE LÄN</t>
        </is>
      </c>
      <c r="E3555" t="inlineStr">
        <is>
          <t>HÖÖR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30142-2024</t>
        </is>
      </c>
      <c r="B3556" s="1" t="n">
        <v>45489</v>
      </c>
      <c r="C3556" s="1" t="n">
        <v>45962</v>
      </c>
      <c r="D3556" t="inlineStr">
        <is>
          <t>SKÅNE LÄN</t>
        </is>
      </c>
      <c r="E3556" t="inlineStr">
        <is>
          <t>ÖSTRA GÖINGE</t>
        </is>
      </c>
      <c r="G3556" t="n">
        <v>11.9</v>
      </c>
      <c r="H3556" t="n">
        <v>0</v>
      </c>
      <c r="I3556" t="n">
        <v>0</v>
      </c>
      <c r="J3556" t="n">
        <v>0</v>
      </c>
      <c r="K3556" t="n">
        <v>0</v>
      </c>
      <c r="L3556" t="n">
        <v>0</v>
      </c>
      <c r="M3556" t="n">
        <v>0</v>
      </c>
      <c r="N3556" t="n">
        <v>0</v>
      </c>
      <c r="O3556" t="n">
        <v>0</v>
      </c>
      <c r="P3556" t="n">
        <v>0</v>
      </c>
      <c r="Q3556" t="n">
        <v>0</v>
      </c>
      <c r="R3556" s="2" t="inlineStr"/>
    </row>
    <row r="3557" ht="15" customHeight="1">
      <c r="A3557" t="inlineStr">
        <is>
          <t>A 56969-2023</t>
        </is>
      </c>
      <c r="B3557" s="1" t="n">
        <v>45244</v>
      </c>
      <c r="C3557" s="1" t="n">
        <v>45962</v>
      </c>
      <c r="D3557" t="inlineStr">
        <is>
          <t>SKÅNE LÄN</t>
        </is>
      </c>
      <c r="E3557" t="inlineStr">
        <is>
          <t>KRISTIANSTAD</t>
        </is>
      </c>
      <c r="F3557" t="inlineStr">
        <is>
          <t>Övriga Aktiebolag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4460-2025</t>
        </is>
      </c>
      <c r="B3558" s="1" t="n">
        <v>45686.59799768519</v>
      </c>
      <c r="C3558" s="1" t="n">
        <v>45962</v>
      </c>
      <c r="D3558" t="inlineStr">
        <is>
          <t>SKÅNE LÄN</t>
        </is>
      </c>
      <c r="E3558" t="inlineStr">
        <is>
          <t>ÖSTRA GÖINGE</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14254-2023</t>
        </is>
      </c>
      <c r="B3559" s="1" t="n">
        <v>45009.90423611111</v>
      </c>
      <c r="C3559" s="1" t="n">
        <v>45962</v>
      </c>
      <c r="D3559" t="inlineStr">
        <is>
          <t>SKÅNE LÄN</t>
        </is>
      </c>
      <c r="E3559" t="inlineStr">
        <is>
          <t>ÖRKELLJUNGA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1235-2022</t>
        </is>
      </c>
      <c r="B3560" s="1" t="n">
        <v>44572.58090277778</v>
      </c>
      <c r="C3560" s="1" t="n">
        <v>45962</v>
      </c>
      <c r="D3560" t="inlineStr">
        <is>
          <t>SKÅNE LÄN</t>
        </is>
      </c>
      <c r="E3560" t="inlineStr">
        <is>
          <t>SJÖBO</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43224-2024</t>
        </is>
      </c>
      <c r="B3561" s="1" t="n">
        <v>45567.87409722222</v>
      </c>
      <c r="C3561" s="1" t="n">
        <v>45962</v>
      </c>
      <c r="D3561" t="inlineStr">
        <is>
          <t>SKÅNE LÄN</t>
        </is>
      </c>
      <c r="E3561" t="inlineStr">
        <is>
          <t>ÖSTRA GÖINGE</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31991-2023</t>
        </is>
      </c>
      <c r="B3562" s="1" t="n">
        <v>45107</v>
      </c>
      <c r="C3562" s="1" t="n">
        <v>45962</v>
      </c>
      <c r="D3562" t="inlineStr">
        <is>
          <t>SKÅNE LÄN</t>
        </is>
      </c>
      <c r="E3562" t="inlineStr">
        <is>
          <t>OSBY</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32103-2023</t>
        </is>
      </c>
      <c r="B3563" s="1" t="n">
        <v>45119</v>
      </c>
      <c r="C3563" s="1" t="n">
        <v>45962</v>
      </c>
      <c r="D3563" t="inlineStr">
        <is>
          <t>SKÅNE LÄN</t>
        </is>
      </c>
      <c r="E3563" t="inlineStr">
        <is>
          <t>KRISTIANSTAD</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32701-2023</t>
        </is>
      </c>
      <c r="B3564" s="1" t="n">
        <v>45121.80873842593</v>
      </c>
      <c r="C3564" s="1" t="n">
        <v>45962</v>
      </c>
      <c r="D3564" t="inlineStr">
        <is>
          <t>SKÅNE LÄN</t>
        </is>
      </c>
      <c r="E3564" t="inlineStr">
        <is>
          <t>KRISTIANSTAD</t>
        </is>
      </c>
      <c r="F3564" t="inlineStr">
        <is>
          <t>Sveaskog</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14517-2023</t>
        </is>
      </c>
      <c r="B3565" s="1" t="n">
        <v>45012</v>
      </c>
      <c r="C3565" s="1" t="n">
        <v>45962</v>
      </c>
      <c r="D3565" t="inlineStr">
        <is>
          <t>SKÅNE LÄN</t>
        </is>
      </c>
      <c r="E3565" t="inlineStr">
        <is>
          <t>ÅSTORP</t>
        </is>
      </c>
      <c r="G3565" t="n">
        <v>0.6</v>
      </c>
      <c r="H3565" t="n">
        <v>0</v>
      </c>
      <c r="I3565" t="n">
        <v>0</v>
      </c>
      <c r="J3565" t="n">
        <v>0</v>
      </c>
      <c r="K3565" t="n">
        <v>0</v>
      </c>
      <c r="L3565" t="n">
        <v>0</v>
      </c>
      <c r="M3565" t="n">
        <v>0</v>
      </c>
      <c r="N3565" t="n">
        <v>0</v>
      </c>
      <c r="O3565" t="n">
        <v>0</v>
      </c>
      <c r="P3565" t="n">
        <v>0</v>
      </c>
      <c r="Q3565" t="n">
        <v>0</v>
      </c>
      <c r="R3565" s="2" t="inlineStr"/>
    </row>
    <row r="3566" ht="15" customHeight="1">
      <c r="A3566" t="inlineStr">
        <is>
          <t>A 27527-2023</t>
        </is>
      </c>
      <c r="B3566" s="1" t="n">
        <v>45097</v>
      </c>
      <c r="C3566" s="1" t="n">
        <v>45962</v>
      </c>
      <c r="D3566" t="inlineStr">
        <is>
          <t>SKÅNE LÄN</t>
        </is>
      </c>
      <c r="E3566" t="inlineStr">
        <is>
          <t>OSBY</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27553-2023</t>
        </is>
      </c>
      <c r="B3567" s="1" t="n">
        <v>45097</v>
      </c>
      <c r="C3567" s="1" t="n">
        <v>45962</v>
      </c>
      <c r="D3567" t="inlineStr">
        <is>
          <t>SKÅNE LÄN</t>
        </is>
      </c>
      <c r="E3567" t="inlineStr">
        <is>
          <t>ÄNGELHOLM</t>
        </is>
      </c>
      <c r="G3567" t="n">
        <v>0.8</v>
      </c>
      <c r="H3567" t="n">
        <v>0</v>
      </c>
      <c r="I3567" t="n">
        <v>0</v>
      </c>
      <c r="J3567" t="n">
        <v>0</v>
      </c>
      <c r="K3567" t="n">
        <v>0</v>
      </c>
      <c r="L3567" t="n">
        <v>0</v>
      </c>
      <c r="M3567" t="n">
        <v>0</v>
      </c>
      <c r="N3567" t="n">
        <v>0</v>
      </c>
      <c r="O3567" t="n">
        <v>0</v>
      </c>
      <c r="P3567" t="n">
        <v>0</v>
      </c>
      <c r="Q3567" t="n">
        <v>0</v>
      </c>
      <c r="R3567" s="2" t="inlineStr"/>
    </row>
    <row r="3568" ht="15" customHeight="1">
      <c r="A3568" t="inlineStr">
        <is>
          <t>A 10710-2025</t>
        </is>
      </c>
      <c r="B3568" s="1" t="n">
        <v>45722</v>
      </c>
      <c r="C3568" s="1" t="n">
        <v>45962</v>
      </c>
      <c r="D3568" t="inlineStr">
        <is>
          <t>SKÅNE LÄN</t>
        </is>
      </c>
      <c r="E3568" t="inlineStr">
        <is>
          <t>BÅSTAD</t>
        </is>
      </c>
      <c r="F3568" t="inlineStr">
        <is>
          <t>Kommuner</t>
        </is>
      </c>
      <c r="G3568" t="n">
        <v>1.8</v>
      </c>
      <c r="H3568" t="n">
        <v>0</v>
      </c>
      <c r="I3568" t="n">
        <v>0</v>
      </c>
      <c r="J3568" t="n">
        <v>0</v>
      </c>
      <c r="K3568" t="n">
        <v>0</v>
      </c>
      <c r="L3568" t="n">
        <v>0</v>
      </c>
      <c r="M3568" t="n">
        <v>0</v>
      </c>
      <c r="N3568" t="n">
        <v>0</v>
      </c>
      <c r="O3568" t="n">
        <v>0</v>
      </c>
      <c r="P3568" t="n">
        <v>0</v>
      </c>
      <c r="Q3568" t="n">
        <v>0</v>
      </c>
      <c r="R3568" s="2" t="inlineStr"/>
    </row>
    <row r="3569" ht="15" customHeight="1">
      <c r="A3569" t="inlineStr">
        <is>
          <t>A 29795-2025</t>
        </is>
      </c>
      <c r="B3569" s="1" t="n">
        <v>45825.66778935185</v>
      </c>
      <c r="C3569" s="1" t="n">
        <v>45962</v>
      </c>
      <c r="D3569" t="inlineStr">
        <is>
          <t>SKÅNE LÄN</t>
        </is>
      </c>
      <c r="E3569" t="inlineStr">
        <is>
          <t>KRISTIANSTAD</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6081-2023</t>
        </is>
      </c>
      <c r="B3570" s="1" t="n">
        <v>44959</v>
      </c>
      <c r="C3570" s="1" t="n">
        <v>45962</v>
      </c>
      <c r="D3570" t="inlineStr">
        <is>
          <t>SKÅNE LÄN</t>
        </is>
      </c>
      <c r="E3570" t="inlineStr">
        <is>
          <t>HÖRBY</t>
        </is>
      </c>
      <c r="G3570" t="n">
        <v>0.4</v>
      </c>
      <c r="H3570" t="n">
        <v>0</v>
      </c>
      <c r="I3570" t="n">
        <v>0</v>
      </c>
      <c r="J3570" t="n">
        <v>0</v>
      </c>
      <c r="K3570" t="n">
        <v>0</v>
      </c>
      <c r="L3570" t="n">
        <v>0</v>
      </c>
      <c r="M3570" t="n">
        <v>0</v>
      </c>
      <c r="N3570" t="n">
        <v>0</v>
      </c>
      <c r="O3570" t="n">
        <v>0</v>
      </c>
      <c r="P3570" t="n">
        <v>0</v>
      </c>
      <c r="Q3570" t="n">
        <v>0</v>
      </c>
      <c r="R3570" s="2" t="inlineStr"/>
    </row>
    <row r="3571" ht="15" customHeight="1">
      <c r="A3571" t="inlineStr">
        <is>
          <t>A 26459-2021</t>
        </is>
      </c>
      <c r="B3571" s="1" t="n">
        <v>44348</v>
      </c>
      <c r="C3571" s="1" t="n">
        <v>45962</v>
      </c>
      <c r="D3571" t="inlineStr">
        <is>
          <t>SKÅNE LÄN</t>
        </is>
      </c>
      <c r="E3571" t="inlineStr">
        <is>
          <t>SJÖBO</t>
        </is>
      </c>
      <c r="G3571" t="n">
        <v>4.5</v>
      </c>
      <c r="H3571" t="n">
        <v>0</v>
      </c>
      <c r="I3571" t="n">
        <v>0</v>
      </c>
      <c r="J3571" t="n">
        <v>0</v>
      </c>
      <c r="K3571" t="n">
        <v>0</v>
      </c>
      <c r="L3571" t="n">
        <v>0</v>
      </c>
      <c r="M3571" t="n">
        <v>0</v>
      </c>
      <c r="N3571" t="n">
        <v>0</v>
      </c>
      <c r="O3571" t="n">
        <v>0</v>
      </c>
      <c r="P3571" t="n">
        <v>0</v>
      </c>
      <c r="Q3571" t="n">
        <v>0</v>
      </c>
      <c r="R3571" s="2" t="inlineStr"/>
    </row>
    <row r="3572" ht="15" customHeight="1">
      <c r="A3572" t="inlineStr">
        <is>
          <t>A 55588-2021</t>
        </is>
      </c>
      <c r="B3572" s="1" t="n">
        <v>44475</v>
      </c>
      <c r="C3572" s="1" t="n">
        <v>45962</v>
      </c>
      <c r="D3572" t="inlineStr">
        <is>
          <t>SKÅNE LÄN</t>
        </is>
      </c>
      <c r="E3572" t="inlineStr">
        <is>
          <t>KLIPPAN</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25759-2024</t>
        </is>
      </c>
      <c r="B3573" s="1" t="n">
        <v>45465.73241898148</v>
      </c>
      <c r="C3573" s="1" t="n">
        <v>45962</v>
      </c>
      <c r="D3573" t="inlineStr">
        <is>
          <t>SKÅNE LÄN</t>
        </is>
      </c>
      <c r="E3573" t="inlineStr">
        <is>
          <t>KRISTIANSTAD</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25833-2024</t>
        </is>
      </c>
      <c r="B3574" s="1" t="n">
        <v>45463</v>
      </c>
      <c r="C3574" s="1" t="n">
        <v>45962</v>
      </c>
      <c r="D3574" t="inlineStr">
        <is>
          <t>SKÅNE LÄN</t>
        </is>
      </c>
      <c r="E3574" t="inlineStr">
        <is>
          <t>HÖRBY</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10961-2025</t>
        </is>
      </c>
      <c r="B3575" s="1" t="n">
        <v>45723.3765625</v>
      </c>
      <c r="C3575" s="1" t="n">
        <v>45962</v>
      </c>
      <c r="D3575" t="inlineStr">
        <is>
          <t>SKÅNE LÄN</t>
        </is>
      </c>
      <c r="E3575" t="inlineStr">
        <is>
          <t>KRISTIANSTAD</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10963-2025</t>
        </is>
      </c>
      <c r="B3576" s="1" t="n">
        <v>45723.37921296297</v>
      </c>
      <c r="C3576" s="1" t="n">
        <v>45962</v>
      </c>
      <c r="D3576" t="inlineStr">
        <is>
          <t>SKÅNE LÄN</t>
        </is>
      </c>
      <c r="E3576" t="inlineStr">
        <is>
          <t>KRISTIANSTAD</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15467-2025</t>
        </is>
      </c>
      <c r="B3577" s="1" t="n">
        <v>45747.52465277778</v>
      </c>
      <c r="C3577" s="1" t="n">
        <v>45962</v>
      </c>
      <c r="D3577" t="inlineStr">
        <is>
          <t>SKÅNE LÄN</t>
        </is>
      </c>
      <c r="E3577" t="inlineStr">
        <is>
          <t>ESLÖV</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59434-2023</t>
        </is>
      </c>
      <c r="B3578" s="1" t="n">
        <v>45254.30440972222</v>
      </c>
      <c r="C3578" s="1" t="n">
        <v>45962</v>
      </c>
      <c r="D3578" t="inlineStr">
        <is>
          <t>SKÅNE LÄN</t>
        </is>
      </c>
      <c r="E3578" t="inlineStr">
        <is>
          <t>HÄSSLEHOLM</t>
        </is>
      </c>
      <c r="G3578" t="n">
        <v>3.6</v>
      </c>
      <c r="H3578" t="n">
        <v>0</v>
      </c>
      <c r="I3578" t="n">
        <v>0</v>
      </c>
      <c r="J3578" t="n">
        <v>0</v>
      </c>
      <c r="K3578" t="n">
        <v>0</v>
      </c>
      <c r="L3578" t="n">
        <v>0</v>
      </c>
      <c r="M3578" t="n">
        <v>0</v>
      </c>
      <c r="N3578" t="n">
        <v>0</v>
      </c>
      <c r="O3578" t="n">
        <v>0</v>
      </c>
      <c r="P3578" t="n">
        <v>0</v>
      </c>
      <c r="Q3578" t="n">
        <v>0</v>
      </c>
      <c r="R3578" s="2" t="inlineStr"/>
    </row>
    <row r="3579" ht="15" customHeight="1">
      <c r="A3579" t="inlineStr">
        <is>
          <t>A 46627-2024</t>
        </is>
      </c>
      <c r="B3579" s="1" t="n">
        <v>45583.33128472222</v>
      </c>
      <c r="C3579" s="1" t="n">
        <v>45962</v>
      </c>
      <c r="D3579" t="inlineStr">
        <is>
          <t>SKÅNE LÄN</t>
        </is>
      </c>
      <c r="E3579" t="inlineStr">
        <is>
          <t>KRISTIANSTAD</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35194-2023</t>
        </is>
      </c>
      <c r="B3580" s="1" t="n">
        <v>45145.61299768519</v>
      </c>
      <c r="C3580" s="1" t="n">
        <v>45962</v>
      </c>
      <c r="D3580" t="inlineStr">
        <is>
          <t>SKÅNE LÄN</t>
        </is>
      </c>
      <c r="E3580" t="inlineStr">
        <is>
          <t>PERSTORP</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29219-2023</t>
        </is>
      </c>
      <c r="B3581" s="1" t="n">
        <v>45105.58829861111</v>
      </c>
      <c r="C3581" s="1" t="n">
        <v>45962</v>
      </c>
      <c r="D3581" t="inlineStr">
        <is>
          <t>SKÅNE LÄN</t>
        </is>
      </c>
      <c r="E3581" t="inlineStr">
        <is>
          <t>HÖRBY</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2290-2024</t>
        </is>
      </c>
      <c r="B3582" s="1" t="n">
        <v>45310</v>
      </c>
      <c r="C3582" s="1" t="n">
        <v>45962</v>
      </c>
      <c r="D3582" t="inlineStr">
        <is>
          <t>SKÅNE LÄN</t>
        </is>
      </c>
      <c r="E3582" t="inlineStr">
        <is>
          <t>HÄSSLEHOLM</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52972-2023</t>
        </is>
      </c>
      <c r="B3583" s="1" t="n">
        <v>45222</v>
      </c>
      <c r="C3583" s="1" t="n">
        <v>45962</v>
      </c>
      <c r="D3583" t="inlineStr">
        <is>
          <t>SKÅNE LÄN</t>
        </is>
      </c>
      <c r="E3583" t="inlineStr">
        <is>
          <t>BROMÖLLA</t>
        </is>
      </c>
      <c r="G3583" t="n">
        <v>6.4</v>
      </c>
      <c r="H3583" t="n">
        <v>0</v>
      </c>
      <c r="I3583" t="n">
        <v>0</v>
      </c>
      <c r="J3583" t="n">
        <v>0</v>
      </c>
      <c r="K3583" t="n">
        <v>0</v>
      </c>
      <c r="L3583" t="n">
        <v>0</v>
      </c>
      <c r="M3583" t="n">
        <v>0</v>
      </c>
      <c r="N3583" t="n">
        <v>0</v>
      </c>
      <c r="O3583" t="n">
        <v>0</v>
      </c>
      <c r="P3583" t="n">
        <v>0</v>
      </c>
      <c r="Q3583" t="n">
        <v>0</v>
      </c>
      <c r="R3583" s="2" t="inlineStr"/>
    </row>
    <row r="3584" ht="15" customHeight="1">
      <c r="A3584" t="inlineStr">
        <is>
          <t>A 33067-2024</t>
        </is>
      </c>
      <c r="B3584" s="1" t="n">
        <v>45517.6520949074</v>
      </c>
      <c r="C3584" s="1" t="n">
        <v>45962</v>
      </c>
      <c r="D3584" t="inlineStr">
        <is>
          <t>SKÅNE LÄN</t>
        </is>
      </c>
      <c r="E3584" t="inlineStr">
        <is>
          <t>HÄSSLEHOLM</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46515-2022</t>
        </is>
      </c>
      <c r="B3585" s="1" t="n">
        <v>44847</v>
      </c>
      <c r="C3585" s="1" t="n">
        <v>45962</v>
      </c>
      <c r="D3585" t="inlineStr">
        <is>
          <t>SKÅNE LÄN</t>
        </is>
      </c>
      <c r="E3585" t="inlineStr">
        <is>
          <t>KRISTIANSTAD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34303-2024</t>
        </is>
      </c>
      <c r="B3586" s="1" t="n">
        <v>45524.65349537037</v>
      </c>
      <c r="C3586" s="1" t="n">
        <v>45962</v>
      </c>
      <c r="D3586" t="inlineStr">
        <is>
          <t>SKÅNE LÄN</t>
        </is>
      </c>
      <c r="E3586" t="inlineStr">
        <is>
          <t>OSBY</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34307-2024</t>
        </is>
      </c>
      <c r="B3587" s="1" t="n">
        <v>45524</v>
      </c>
      <c r="C3587" s="1" t="n">
        <v>45962</v>
      </c>
      <c r="D3587" t="inlineStr">
        <is>
          <t>SKÅNE LÄN</t>
        </is>
      </c>
      <c r="E3587" t="inlineStr">
        <is>
          <t>OSBY</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34310-2024</t>
        </is>
      </c>
      <c r="B3588" s="1" t="n">
        <v>45524</v>
      </c>
      <c r="C3588" s="1" t="n">
        <v>45962</v>
      </c>
      <c r="D3588" t="inlineStr">
        <is>
          <t>SKÅNE LÄN</t>
        </is>
      </c>
      <c r="E3588" t="inlineStr">
        <is>
          <t>SKURUP</t>
        </is>
      </c>
      <c r="G3588" t="n">
        <v>4.8</v>
      </c>
      <c r="H3588" t="n">
        <v>0</v>
      </c>
      <c r="I3588" t="n">
        <v>0</v>
      </c>
      <c r="J3588" t="n">
        <v>0</v>
      </c>
      <c r="K3588" t="n">
        <v>0</v>
      </c>
      <c r="L3588" t="n">
        <v>0</v>
      </c>
      <c r="M3588" t="n">
        <v>0</v>
      </c>
      <c r="N3588" t="n">
        <v>0</v>
      </c>
      <c r="O3588" t="n">
        <v>0</v>
      </c>
      <c r="P3588" t="n">
        <v>0</v>
      </c>
      <c r="Q3588" t="n">
        <v>0</v>
      </c>
      <c r="R3588" s="2" t="inlineStr"/>
    </row>
    <row r="3589" ht="15" customHeight="1">
      <c r="A3589" t="inlineStr">
        <is>
          <t>A 12070-2023</t>
        </is>
      </c>
      <c r="B3589" s="1" t="n">
        <v>44997</v>
      </c>
      <c r="C3589" s="1" t="n">
        <v>45962</v>
      </c>
      <c r="D3589" t="inlineStr">
        <is>
          <t>SKÅNE LÄN</t>
        </is>
      </c>
      <c r="E3589" t="inlineStr">
        <is>
          <t>OSBY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12181-2023</t>
        </is>
      </c>
      <c r="B3590" s="1" t="n">
        <v>44998.55116898148</v>
      </c>
      <c r="C3590" s="1" t="n">
        <v>45962</v>
      </c>
      <c r="D3590" t="inlineStr">
        <is>
          <t>SKÅNE LÄN</t>
        </is>
      </c>
      <c r="E3590" t="inlineStr">
        <is>
          <t>TOMELILLA</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29642-2025</t>
        </is>
      </c>
      <c r="B3591" s="1" t="n">
        <v>45825</v>
      </c>
      <c r="C3591" s="1" t="n">
        <v>45962</v>
      </c>
      <c r="D3591" t="inlineStr">
        <is>
          <t>SKÅNE LÄN</t>
        </is>
      </c>
      <c r="E3591" t="inlineStr">
        <is>
          <t>ÖRKELLJUNGA</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28982-2025</t>
        </is>
      </c>
      <c r="B3592" s="1" t="n">
        <v>45821.35623842593</v>
      </c>
      <c r="C3592" s="1" t="n">
        <v>45962</v>
      </c>
      <c r="D3592" t="inlineStr">
        <is>
          <t>SKÅNE LÄN</t>
        </is>
      </c>
      <c r="E3592" t="inlineStr">
        <is>
          <t>ÖSTRA GÖINGE</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45398-2024</t>
        </is>
      </c>
      <c r="B3593" s="1" t="n">
        <v>45576.56260416667</v>
      </c>
      <c r="C3593" s="1" t="n">
        <v>45962</v>
      </c>
      <c r="D3593" t="inlineStr">
        <is>
          <t>SKÅNE LÄN</t>
        </is>
      </c>
      <c r="E3593" t="inlineStr">
        <is>
          <t>HÄSSLEHOLM</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1051-2024</t>
        </is>
      </c>
      <c r="B3594" s="1" t="n">
        <v>45301.94692129629</v>
      </c>
      <c r="C3594" s="1" t="n">
        <v>45962</v>
      </c>
      <c r="D3594" t="inlineStr">
        <is>
          <t>SKÅNE LÄN</t>
        </is>
      </c>
      <c r="E3594" t="inlineStr">
        <is>
          <t>OSBY</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29244-2025</t>
        </is>
      </c>
      <c r="B3595" s="1" t="n">
        <v>45824.36681712963</v>
      </c>
      <c r="C3595" s="1" t="n">
        <v>45962</v>
      </c>
      <c r="D3595" t="inlineStr">
        <is>
          <t>SKÅNE LÄN</t>
        </is>
      </c>
      <c r="E3595" t="inlineStr">
        <is>
          <t>HÖRBY</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1164-2024</t>
        </is>
      </c>
      <c r="B3596" s="1" t="n">
        <v>45302</v>
      </c>
      <c r="C3596" s="1" t="n">
        <v>45962</v>
      </c>
      <c r="D3596" t="inlineStr">
        <is>
          <t>SKÅNE LÄN</t>
        </is>
      </c>
      <c r="E3596" t="inlineStr">
        <is>
          <t>PERSTORP</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29354-2025</t>
        </is>
      </c>
      <c r="B3597" s="1" t="n">
        <v>45824</v>
      </c>
      <c r="C3597" s="1" t="n">
        <v>45962</v>
      </c>
      <c r="D3597" t="inlineStr">
        <is>
          <t>SKÅNE LÄN</t>
        </is>
      </c>
      <c r="E3597" t="inlineStr">
        <is>
          <t>HÖRBY</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27237-2024</t>
        </is>
      </c>
      <c r="B3598" s="1" t="n">
        <v>45471</v>
      </c>
      <c r="C3598" s="1" t="n">
        <v>45962</v>
      </c>
      <c r="D3598" t="inlineStr">
        <is>
          <t>SKÅNE LÄN</t>
        </is>
      </c>
      <c r="E3598" t="inlineStr">
        <is>
          <t>SJÖBO</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60498-2023</t>
        </is>
      </c>
      <c r="B3599" s="1" t="n">
        <v>45259</v>
      </c>
      <c r="C3599" s="1" t="n">
        <v>45962</v>
      </c>
      <c r="D3599" t="inlineStr">
        <is>
          <t>SKÅNE LÄN</t>
        </is>
      </c>
      <c r="E3599" t="inlineStr">
        <is>
          <t>PERSTORP</t>
        </is>
      </c>
      <c r="F3599" t="inlineStr">
        <is>
          <t>Övriga Aktiebolag</t>
        </is>
      </c>
      <c r="G3599" t="n">
        <v>3.5</v>
      </c>
      <c r="H3599" t="n">
        <v>0</v>
      </c>
      <c r="I3599" t="n">
        <v>0</v>
      </c>
      <c r="J3599" t="n">
        <v>0</v>
      </c>
      <c r="K3599" t="n">
        <v>0</v>
      </c>
      <c r="L3599" t="n">
        <v>0</v>
      </c>
      <c r="M3599" t="n">
        <v>0</v>
      </c>
      <c r="N3599" t="n">
        <v>0</v>
      </c>
      <c r="O3599" t="n">
        <v>0</v>
      </c>
      <c r="P3599" t="n">
        <v>0</v>
      </c>
      <c r="Q3599" t="n">
        <v>0</v>
      </c>
      <c r="R3599" s="2" t="inlineStr"/>
    </row>
    <row r="3600" ht="15" customHeight="1">
      <c r="A3600" t="inlineStr">
        <is>
          <t>A 4140-2023</t>
        </is>
      </c>
      <c r="B3600" s="1" t="n">
        <v>44953</v>
      </c>
      <c r="C3600" s="1" t="n">
        <v>45962</v>
      </c>
      <c r="D3600" t="inlineStr">
        <is>
          <t>SKÅNE LÄN</t>
        </is>
      </c>
      <c r="E3600" t="inlineStr">
        <is>
          <t>HÄSSLEHOLM</t>
        </is>
      </c>
      <c r="G3600" t="n">
        <v>10.6</v>
      </c>
      <c r="H3600" t="n">
        <v>0</v>
      </c>
      <c r="I3600" t="n">
        <v>0</v>
      </c>
      <c r="J3600" t="n">
        <v>0</v>
      </c>
      <c r="K3600" t="n">
        <v>0</v>
      </c>
      <c r="L3600" t="n">
        <v>0</v>
      </c>
      <c r="M3600" t="n">
        <v>0</v>
      </c>
      <c r="N3600" t="n">
        <v>0</v>
      </c>
      <c r="O3600" t="n">
        <v>0</v>
      </c>
      <c r="P3600" t="n">
        <v>0</v>
      </c>
      <c r="Q3600" t="n">
        <v>0</v>
      </c>
      <c r="R3600" s="2" t="inlineStr"/>
    </row>
    <row r="3601" ht="15" customHeight="1">
      <c r="A3601" t="inlineStr">
        <is>
          <t>A 8204-2021</t>
        </is>
      </c>
      <c r="B3601" s="1" t="n">
        <v>44244</v>
      </c>
      <c r="C3601" s="1" t="n">
        <v>45962</v>
      </c>
      <c r="D3601" t="inlineStr">
        <is>
          <t>SKÅNE LÄN</t>
        </is>
      </c>
      <c r="E3601" t="inlineStr">
        <is>
          <t>KLIPPAN</t>
        </is>
      </c>
      <c r="G3601" t="n">
        <v>3.7</v>
      </c>
      <c r="H3601" t="n">
        <v>0</v>
      </c>
      <c r="I3601" t="n">
        <v>0</v>
      </c>
      <c r="J3601" t="n">
        <v>0</v>
      </c>
      <c r="K3601" t="n">
        <v>0</v>
      </c>
      <c r="L3601" t="n">
        <v>0</v>
      </c>
      <c r="M3601" t="n">
        <v>0</v>
      </c>
      <c r="N3601" t="n">
        <v>0</v>
      </c>
      <c r="O3601" t="n">
        <v>0</v>
      </c>
      <c r="P3601" t="n">
        <v>0</v>
      </c>
      <c r="Q3601" t="n">
        <v>0</v>
      </c>
      <c r="R3601" s="2" t="inlineStr"/>
    </row>
    <row r="3602" ht="15" customHeight="1">
      <c r="A3602" t="inlineStr">
        <is>
          <t>A 4156-2023</t>
        </is>
      </c>
      <c r="B3602" s="1" t="n">
        <v>44953</v>
      </c>
      <c r="C3602" s="1" t="n">
        <v>45962</v>
      </c>
      <c r="D3602" t="inlineStr">
        <is>
          <t>SKÅNE LÄN</t>
        </is>
      </c>
      <c r="E3602" t="inlineStr">
        <is>
          <t>ÅSTORP</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68592-2021</t>
        </is>
      </c>
      <c r="B3603" s="1" t="n">
        <v>44529.54512731481</v>
      </c>
      <c r="C3603" s="1" t="n">
        <v>45962</v>
      </c>
      <c r="D3603" t="inlineStr">
        <is>
          <t>SKÅNE LÄN</t>
        </is>
      </c>
      <c r="E3603" t="inlineStr">
        <is>
          <t>OSBY</t>
        </is>
      </c>
      <c r="G3603" t="n">
        <v>1.3</v>
      </c>
      <c r="H3603" t="n">
        <v>0</v>
      </c>
      <c r="I3603" t="n">
        <v>0</v>
      </c>
      <c r="J3603" t="n">
        <v>0</v>
      </c>
      <c r="K3603" t="n">
        <v>0</v>
      </c>
      <c r="L3603" t="n">
        <v>0</v>
      </c>
      <c r="M3603" t="n">
        <v>0</v>
      </c>
      <c r="N3603" t="n">
        <v>0</v>
      </c>
      <c r="O3603" t="n">
        <v>0</v>
      </c>
      <c r="P3603" t="n">
        <v>0</v>
      </c>
      <c r="Q3603" t="n">
        <v>0</v>
      </c>
      <c r="R3603" s="2" t="inlineStr"/>
    </row>
    <row r="3604" ht="15" customHeight="1">
      <c r="A3604" t="inlineStr">
        <is>
          <t>A 64626-2023</t>
        </is>
      </c>
      <c r="B3604" s="1" t="n">
        <v>45281</v>
      </c>
      <c r="C3604" s="1" t="n">
        <v>45962</v>
      </c>
      <c r="D3604" t="inlineStr">
        <is>
          <t>SKÅNE LÄN</t>
        </is>
      </c>
      <c r="E3604" t="inlineStr">
        <is>
          <t>KRISTIANSTAD</t>
        </is>
      </c>
      <c r="G3604" t="n">
        <v>2.4</v>
      </c>
      <c r="H3604" t="n">
        <v>0</v>
      </c>
      <c r="I3604" t="n">
        <v>0</v>
      </c>
      <c r="J3604" t="n">
        <v>0</v>
      </c>
      <c r="K3604" t="n">
        <v>0</v>
      </c>
      <c r="L3604" t="n">
        <v>0</v>
      </c>
      <c r="M3604" t="n">
        <v>0</v>
      </c>
      <c r="N3604" t="n">
        <v>0</v>
      </c>
      <c r="O3604" t="n">
        <v>0</v>
      </c>
      <c r="P3604" t="n">
        <v>0</v>
      </c>
      <c r="Q3604" t="n">
        <v>0</v>
      </c>
      <c r="R3604" s="2" t="inlineStr"/>
    </row>
    <row r="3605" ht="15" customHeight="1">
      <c r="A3605" t="inlineStr">
        <is>
          <t>A 56818-2022</t>
        </is>
      </c>
      <c r="B3605" s="1" t="n">
        <v>44894</v>
      </c>
      <c r="C3605" s="1" t="n">
        <v>45962</v>
      </c>
      <c r="D3605" t="inlineStr">
        <is>
          <t>SKÅNE LÄN</t>
        </is>
      </c>
      <c r="E3605" t="inlineStr">
        <is>
          <t>HÖRBY</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28236-2022</t>
        </is>
      </c>
      <c r="B3606" s="1" t="n">
        <v>44746</v>
      </c>
      <c r="C3606" s="1" t="n">
        <v>45962</v>
      </c>
      <c r="D3606" t="inlineStr">
        <is>
          <t>SKÅNE LÄN</t>
        </is>
      </c>
      <c r="E3606" t="inlineStr">
        <is>
          <t>HÄSSLEHOLM</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28240-2022</t>
        </is>
      </c>
      <c r="B3607" s="1" t="n">
        <v>44746</v>
      </c>
      <c r="C3607" s="1" t="n">
        <v>45962</v>
      </c>
      <c r="D3607" t="inlineStr">
        <is>
          <t>SKÅNE LÄN</t>
        </is>
      </c>
      <c r="E3607" t="inlineStr">
        <is>
          <t>OSBY</t>
        </is>
      </c>
      <c r="G3607" t="n">
        <v>2.3</v>
      </c>
      <c r="H3607" t="n">
        <v>0</v>
      </c>
      <c r="I3607" t="n">
        <v>0</v>
      </c>
      <c r="J3607" t="n">
        <v>0</v>
      </c>
      <c r="K3607" t="n">
        <v>0</v>
      </c>
      <c r="L3607" t="n">
        <v>0</v>
      </c>
      <c r="M3607" t="n">
        <v>0</v>
      </c>
      <c r="N3607" t="n">
        <v>0</v>
      </c>
      <c r="O3607" t="n">
        <v>0</v>
      </c>
      <c r="P3607" t="n">
        <v>0</v>
      </c>
      <c r="Q3607" t="n">
        <v>0</v>
      </c>
      <c r="R3607" s="2" t="inlineStr"/>
    </row>
    <row r="3608" ht="15" customHeight="1">
      <c r="A3608" t="inlineStr">
        <is>
          <t>A 29247-2025</t>
        </is>
      </c>
      <c r="B3608" s="1" t="n">
        <v>45824</v>
      </c>
      <c r="C3608" s="1" t="n">
        <v>45962</v>
      </c>
      <c r="D3608" t="inlineStr">
        <is>
          <t>SKÅNE LÄN</t>
        </is>
      </c>
      <c r="E3608" t="inlineStr">
        <is>
          <t>LUND</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23816-2023</t>
        </is>
      </c>
      <c r="B3609" s="1" t="n">
        <v>45078.39329861111</v>
      </c>
      <c r="C3609" s="1" t="n">
        <v>45962</v>
      </c>
      <c r="D3609" t="inlineStr">
        <is>
          <t>SKÅNE LÄN</t>
        </is>
      </c>
      <c r="E3609" t="inlineStr">
        <is>
          <t>OSBY</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44135-2024</t>
        </is>
      </c>
      <c r="B3610" s="1" t="n">
        <v>45572</v>
      </c>
      <c r="C3610" s="1" t="n">
        <v>45962</v>
      </c>
      <c r="D3610" t="inlineStr">
        <is>
          <t>SKÅNE LÄN</t>
        </is>
      </c>
      <c r="E3610" t="inlineStr">
        <is>
          <t>HÖRBY</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37082-2023</t>
        </is>
      </c>
      <c r="B3611" s="1" t="n">
        <v>45155</v>
      </c>
      <c r="C3611" s="1" t="n">
        <v>45962</v>
      </c>
      <c r="D3611" t="inlineStr">
        <is>
          <t>SKÅNE LÄN</t>
        </is>
      </c>
      <c r="E3611" t="inlineStr">
        <is>
          <t>HÖRBY</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16979-2025</t>
        </is>
      </c>
      <c r="B3612" s="1" t="n">
        <v>45755</v>
      </c>
      <c r="C3612" s="1" t="n">
        <v>45962</v>
      </c>
      <c r="D3612" t="inlineStr">
        <is>
          <t>SKÅNE LÄN</t>
        </is>
      </c>
      <c r="E3612" t="inlineStr">
        <is>
          <t>SJÖBO</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50000-2023</t>
        </is>
      </c>
      <c r="B3613" s="1" t="n">
        <v>45215.4434837963</v>
      </c>
      <c r="C3613" s="1" t="n">
        <v>45962</v>
      </c>
      <c r="D3613" t="inlineStr">
        <is>
          <t>SKÅNE LÄN</t>
        </is>
      </c>
      <c r="E3613" t="inlineStr">
        <is>
          <t>HÄSSLEHOLM</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61625-2022</t>
        </is>
      </c>
      <c r="B3614" s="1" t="n">
        <v>44916</v>
      </c>
      <c r="C3614" s="1" t="n">
        <v>45962</v>
      </c>
      <c r="D3614" t="inlineStr">
        <is>
          <t>SKÅNE LÄN</t>
        </is>
      </c>
      <c r="E3614" t="inlineStr">
        <is>
          <t>HÄSSLEHOLM</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7337-2024</t>
        </is>
      </c>
      <c r="B3615" s="1" t="n">
        <v>45345</v>
      </c>
      <c r="C3615" s="1" t="n">
        <v>45962</v>
      </c>
      <c r="D3615" t="inlineStr">
        <is>
          <t>SKÅNE LÄN</t>
        </is>
      </c>
      <c r="E3615" t="inlineStr">
        <is>
          <t>ÄNGELHOLM</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52286-2023</t>
        </is>
      </c>
      <c r="B3616" s="1" t="n">
        <v>45224.58796296296</v>
      </c>
      <c r="C3616" s="1" t="n">
        <v>45962</v>
      </c>
      <c r="D3616" t="inlineStr">
        <is>
          <t>SKÅNE LÄN</t>
        </is>
      </c>
      <c r="E3616" t="inlineStr">
        <is>
          <t>KLIPPAN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68502-2020</t>
        </is>
      </c>
      <c r="B3617" s="1" t="n">
        <v>44186</v>
      </c>
      <c r="C3617" s="1" t="n">
        <v>45962</v>
      </c>
      <c r="D3617" t="inlineStr">
        <is>
          <t>SKÅNE LÄN</t>
        </is>
      </c>
      <c r="E3617" t="inlineStr">
        <is>
          <t>ÖRKELLJUNGA</t>
        </is>
      </c>
      <c r="G3617" t="n">
        <v>0.2</v>
      </c>
      <c r="H3617" t="n">
        <v>0</v>
      </c>
      <c r="I3617" t="n">
        <v>0</v>
      </c>
      <c r="J3617" t="n">
        <v>0</v>
      </c>
      <c r="K3617" t="n">
        <v>0</v>
      </c>
      <c r="L3617" t="n">
        <v>0</v>
      </c>
      <c r="M3617" t="n">
        <v>0</v>
      </c>
      <c r="N3617" t="n">
        <v>0</v>
      </c>
      <c r="O3617" t="n">
        <v>0</v>
      </c>
      <c r="P3617" t="n">
        <v>0</v>
      </c>
      <c r="Q3617" t="n">
        <v>0</v>
      </c>
      <c r="R3617" s="2" t="inlineStr"/>
    </row>
    <row r="3618" ht="15" customHeight="1">
      <c r="A3618" t="inlineStr">
        <is>
          <t>A 38829-2024</t>
        </is>
      </c>
      <c r="B3618" s="1" t="n">
        <v>45547.57247685185</v>
      </c>
      <c r="C3618" s="1" t="n">
        <v>45962</v>
      </c>
      <c r="D3618" t="inlineStr">
        <is>
          <t>SKÅNE LÄN</t>
        </is>
      </c>
      <c r="E3618" t="inlineStr">
        <is>
          <t>HÄSSLEHOLM</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58938-2024</t>
        </is>
      </c>
      <c r="B3619" s="1" t="n">
        <v>45636.53048611111</v>
      </c>
      <c r="C3619" s="1" t="n">
        <v>45962</v>
      </c>
      <c r="D3619" t="inlineStr">
        <is>
          <t>SKÅNE LÄN</t>
        </is>
      </c>
      <c r="E3619" t="inlineStr">
        <is>
          <t>ÖSTRA GÖINGE</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417-2022</t>
        </is>
      </c>
      <c r="B3620" s="1" t="n">
        <v>44565.84615740741</v>
      </c>
      <c r="C3620" s="1" t="n">
        <v>45962</v>
      </c>
      <c r="D3620" t="inlineStr">
        <is>
          <t>SKÅNE LÄN</t>
        </is>
      </c>
      <c r="E3620" t="inlineStr">
        <is>
          <t>HÄSSLEHOLM</t>
        </is>
      </c>
      <c r="G3620" t="n">
        <v>0</v>
      </c>
      <c r="H3620" t="n">
        <v>0</v>
      </c>
      <c r="I3620" t="n">
        <v>0</v>
      </c>
      <c r="J3620" t="n">
        <v>0</v>
      </c>
      <c r="K3620" t="n">
        <v>0</v>
      </c>
      <c r="L3620" t="n">
        <v>0</v>
      </c>
      <c r="M3620" t="n">
        <v>0</v>
      </c>
      <c r="N3620" t="n">
        <v>0</v>
      </c>
      <c r="O3620" t="n">
        <v>0</v>
      </c>
      <c r="P3620" t="n">
        <v>0</v>
      </c>
      <c r="Q3620" t="n">
        <v>0</v>
      </c>
      <c r="R3620" s="2" t="inlineStr"/>
    </row>
    <row r="3621" ht="15" customHeight="1">
      <c r="A3621" t="inlineStr">
        <is>
          <t>A 51040-2024</t>
        </is>
      </c>
      <c r="B3621" s="1" t="n">
        <v>45603.43222222223</v>
      </c>
      <c r="C3621" s="1" t="n">
        <v>45962</v>
      </c>
      <c r="D3621" t="inlineStr">
        <is>
          <t>SKÅNE LÄN</t>
        </is>
      </c>
      <c r="E3621" t="inlineStr">
        <is>
          <t>HÄSSLEHOLM</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6782-2022</t>
        </is>
      </c>
      <c r="B3622" s="1" t="n">
        <v>44602.54034722222</v>
      </c>
      <c r="C3622" s="1" t="n">
        <v>45962</v>
      </c>
      <c r="D3622" t="inlineStr">
        <is>
          <t>SKÅNE LÄN</t>
        </is>
      </c>
      <c r="E3622" t="inlineStr">
        <is>
          <t>ÖSTRA GÖINGE</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30306-2025</t>
        </is>
      </c>
      <c r="B3623" s="1" t="n">
        <v>45827.48390046296</v>
      </c>
      <c r="C3623" s="1" t="n">
        <v>45962</v>
      </c>
      <c r="D3623" t="inlineStr">
        <is>
          <t>SKÅNE LÄN</t>
        </is>
      </c>
      <c r="E3623" t="inlineStr">
        <is>
          <t>ÖSTRA GÖINGE</t>
        </is>
      </c>
      <c r="G3623" t="n">
        <v>3.6</v>
      </c>
      <c r="H3623" t="n">
        <v>0</v>
      </c>
      <c r="I3623" t="n">
        <v>0</v>
      </c>
      <c r="J3623" t="n">
        <v>0</v>
      </c>
      <c r="K3623" t="n">
        <v>0</v>
      </c>
      <c r="L3623" t="n">
        <v>0</v>
      </c>
      <c r="M3623" t="n">
        <v>0</v>
      </c>
      <c r="N3623" t="n">
        <v>0</v>
      </c>
      <c r="O3623" t="n">
        <v>0</v>
      </c>
      <c r="P3623" t="n">
        <v>0</v>
      </c>
      <c r="Q3623" t="n">
        <v>0</v>
      </c>
      <c r="R3623" s="2" t="inlineStr"/>
    </row>
    <row r="3624" ht="15" customHeight="1">
      <c r="A3624" t="inlineStr">
        <is>
          <t>A 1199-2024</t>
        </is>
      </c>
      <c r="B3624" s="1" t="n">
        <v>45302</v>
      </c>
      <c r="C3624" s="1" t="n">
        <v>45962</v>
      </c>
      <c r="D3624" t="inlineStr">
        <is>
          <t>SKÅNE LÄN</t>
        </is>
      </c>
      <c r="E3624" t="inlineStr">
        <is>
          <t>TOMELILLA</t>
        </is>
      </c>
      <c r="F3624" t="inlineStr">
        <is>
          <t>Övriga Aktiebolag</t>
        </is>
      </c>
      <c r="G3624" t="n">
        <v>16.1</v>
      </c>
      <c r="H3624" t="n">
        <v>0</v>
      </c>
      <c r="I3624" t="n">
        <v>0</v>
      </c>
      <c r="J3624" t="n">
        <v>0</v>
      </c>
      <c r="K3624" t="n">
        <v>0</v>
      </c>
      <c r="L3624" t="n">
        <v>0</v>
      </c>
      <c r="M3624" t="n">
        <v>0</v>
      </c>
      <c r="N3624" t="n">
        <v>0</v>
      </c>
      <c r="O3624" t="n">
        <v>0</v>
      </c>
      <c r="P3624" t="n">
        <v>0</v>
      </c>
      <c r="Q3624" t="n">
        <v>0</v>
      </c>
      <c r="R3624" s="2" t="inlineStr"/>
    </row>
    <row r="3625" ht="15" customHeight="1">
      <c r="A3625" t="inlineStr">
        <is>
          <t>A 14442-2023</t>
        </is>
      </c>
      <c r="B3625" s="1" t="n">
        <v>45012</v>
      </c>
      <c r="C3625" s="1" t="n">
        <v>45962</v>
      </c>
      <c r="D3625" t="inlineStr">
        <is>
          <t>SKÅNE LÄN</t>
        </is>
      </c>
      <c r="E3625" t="inlineStr">
        <is>
          <t>KRISTIANSTAD</t>
        </is>
      </c>
      <c r="G3625" t="n">
        <v>2.2</v>
      </c>
      <c r="H3625" t="n">
        <v>0</v>
      </c>
      <c r="I3625" t="n">
        <v>0</v>
      </c>
      <c r="J3625" t="n">
        <v>0</v>
      </c>
      <c r="K3625" t="n">
        <v>0</v>
      </c>
      <c r="L3625" t="n">
        <v>0</v>
      </c>
      <c r="M3625" t="n">
        <v>0</v>
      </c>
      <c r="N3625" t="n">
        <v>0</v>
      </c>
      <c r="O3625" t="n">
        <v>0</v>
      </c>
      <c r="P3625" t="n">
        <v>0</v>
      </c>
      <c r="Q3625" t="n">
        <v>0</v>
      </c>
      <c r="R3625" s="2" t="inlineStr"/>
    </row>
    <row r="3626" ht="15" customHeight="1">
      <c r="A3626" t="inlineStr">
        <is>
          <t>A 7072-2024</t>
        </is>
      </c>
      <c r="B3626" s="1" t="n">
        <v>45343</v>
      </c>
      <c r="C3626" s="1" t="n">
        <v>45962</v>
      </c>
      <c r="D3626" t="inlineStr">
        <is>
          <t>SKÅNE LÄN</t>
        </is>
      </c>
      <c r="E3626" t="inlineStr">
        <is>
          <t>SIMRISHAMN</t>
        </is>
      </c>
      <c r="G3626" t="n">
        <v>5.1</v>
      </c>
      <c r="H3626" t="n">
        <v>0</v>
      </c>
      <c r="I3626" t="n">
        <v>0</v>
      </c>
      <c r="J3626" t="n">
        <v>0</v>
      </c>
      <c r="K3626" t="n">
        <v>0</v>
      </c>
      <c r="L3626" t="n">
        <v>0</v>
      </c>
      <c r="M3626" t="n">
        <v>0</v>
      </c>
      <c r="N3626" t="n">
        <v>0</v>
      </c>
      <c r="O3626" t="n">
        <v>0</v>
      </c>
      <c r="P3626" t="n">
        <v>0</v>
      </c>
      <c r="Q3626" t="n">
        <v>0</v>
      </c>
      <c r="R3626" s="2" t="inlineStr"/>
    </row>
    <row r="3627" ht="15" customHeight="1">
      <c r="A3627" t="inlineStr">
        <is>
          <t>A 1575-2023</t>
        </is>
      </c>
      <c r="B3627" s="1" t="n">
        <v>44937.61728009259</v>
      </c>
      <c r="C3627" s="1" t="n">
        <v>45962</v>
      </c>
      <c r="D3627" t="inlineStr">
        <is>
          <t>SKÅNE LÄN</t>
        </is>
      </c>
      <c r="E3627" t="inlineStr">
        <is>
          <t>ÖSTRA GÖINGE</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29821-2025</t>
        </is>
      </c>
      <c r="B3628" s="1" t="n">
        <v>45825.84996527778</v>
      </c>
      <c r="C3628" s="1" t="n">
        <v>45962</v>
      </c>
      <c r="D3628" t="inlineStr">
        <is>
          <t>SKÅNE LÄN</t>
        </is>
      </c>
      <c r="E3628" t="inlineStr">
        <is>
          <t>SJÖBO</t>
        </is>
      </c>
      <c r="G3628" t="n">
        <v>4</v>
      </c>
      <c r="H3628" t="n">
        <v>0</v>
      </c>
      <c r="I3628" t="n">
        <v>0</v>
      </c>
      <c r="J3628" t="n">
        <v>0</v>
      </c>
      <c r="K3628" t="n">
        <v>0</v>
      </c>
      <c r="L3628" t="n">
        <v>0</v>
      </c>
      <c r="M3628" t="n">
        <v>0</v>
      </c>
      <c r="N3628" t="n">
        <v>0</v>
      </c>
      <c r="O3628" t="n">
        <v>0</v>
      </c>
      <c r="P3628" t="n">
        <v>0</v>
      </c>
      <c r="Q3628" t="n">
        <v>0</v>
      </c>
      <c r="R3628" s="2" t="inlineStr"/>
    </row>
    <row r="3629" ht="15" customHeight="1">
      <c r="A3629" t="inlineStr">
        <is>
          <t>A 13432-2023</t>
        </is>
      </c>
      <c r="B3629" s="1" t="n">
        <v>45005.61023148148</v>
      </c>
      <c r="C3629" s="1" t="n">
        <v>45962</v>
      </c>
      <c r="D3629" t="inlineStr">
        <is>
          <t>SKÅNE LÄN</t>
        </is>
      </c>
      <c r="E3629" t="inlineStr">
        <is>
          <t>HÖÖR</t>
        </is>
      </c>
      <c r="G3629" t="n">
        <v>0.8</v>
      </c>
      <c r="H3629" t="n">
        <v>0</v>
      </c>
      <c r="I3629" t="n">
        <v>0</v>
      </c>
      <c r="J3629" t="n">
        <v>0</v>
      </c>
      <c r="K3629" t="n">
        <v>0</v>
      </c>
      <c r="L3629" t="n">
        <v>0</v>
      </c>
      <c r="M3629" t="n">
        <v>0</v>
      </c>
      <c r="N3629" t="n">
        <v>0</v>
      </c>
      <c r="O3629" t="n">
        <v>0</v>
      </c>
      <c r="P3629" t="n">
        <v>0</v>
      </c>
      <c r="Q3629" t="n">
        <v>0</v>
      </c>
      <c r="R3629" s="2" t="inlineStr"/>
    </row>
    <row r="3630" ht="15" customHeight="1">
      <c r="A3630" t="inlineStr">
        <is>
          <t>A 50249-2024</t>
        </is>
      </c>
      <c r="B3630" s="1" t="n">
        <v>45600.56866898148</v>
      </c>
      <c r="C3630" s="1" t="n">
        <v>45962</v>
      </c>
      <c r="D3630" t="inlineStr">
        <is>
          <t>SKÅNE LÄN</t>
        </is>
      </c>
      <c r="E3630" t="inlineStr">
        <is>
          <t>HÄSSLEHOLM</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13890-2024</t>
        </is>
      </c>
      <c r="B3631" s="1" t="n">
        <v>45391</v>
      </c>
      <c r="C3631" s="1" t="n">
        <v>45962</v>
      </c>
      <c r="D3631" t="inlineStr">
        <is>
          <t>SKÅNE LÄN</t>
        </is>
      </c>
      <c r="E3631" t="inlineStr">
        <is>
          <t>HÄSSLEHOLM</t>
        </is>
      </c>
      <c r="F3631" t="inlineStr">
        <is>
          <t>Kommuner</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54431-2023</t>
        </is>
      </c>
      <c r="B3632" s="1" t="n">
        <v>45226</v>
      </c>
      <c r="C3632" s="1" t="n">
        <v>45962</v>
      </c>
      <c r="D3632" t="inlineStr">
        <is>
          <t>SKÅNE LÄN</t>
        </is>
      </c>
      <c r="E3632" t="inlineStr">
        <is>
          <t>HÖRBY</t>
        </is>
      </c>
      <c r="G3632" t="n">
        <v>3.2</v>
      </c>
      <c r="H3632" t="n">
        <v>0</v>
      </c>
      <c r="I3632" t="n">
        <v>0</v>
      </c>
      <c r="J3632" t="n">
        <v>0</v>
      </c>
      <c r="K3632" t="n">
        <v>0</v>
      </c>
      <c r="L3632" t="n">
        <v>0</v>
      </c>
      <c r="M3632" t="n">
        <v>0</v>
      </c>
      <c r="N3632" t="n">
        <v>0</v>
      </c>
      <c r="O3632" t="n">
        <v>0</v>
      </c>
      <c r="P3632" t="n">
        <v>0</v>
      </c>
      <c r="Q3632" t="n">
        <v>0</v>
      </c>
      <c r="R3632" s="2" t="inlineStr"/>
    </row>
    <row r="3633" ht="15" customHeight="1">
      <c r="A3633" t="inlineStr">
        <is>
          <t>A 55218-2023</t>
        </is>
      </c>
      <c r="B3633" s="1" t="n">
        <v>45237</v>
      </c>
      <c r="C3633" s="1" t="n">
        <v>45962</v>
      </c>
      <c r="D3633" t="inlineStr">
        <is>
          <t>SKÅNE LÄN</t>
        </is>
      </c>
      <c r="E3633" t="inlineStr">
        <is>
          <t>HÄSSLEHOLM</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30010-2025</t>
        </is>
      </c>
      <c r="B3634" s="1" t="n">
        <v>45826</v>
      </c>
      <c r="C3634" s="1" t="n">
        <v>45962</v>
      </c>
      <c r="D3634" t="inlineStr">
        <is>
          <t>SKÅNE LÄN</t>
        </is>
      </c>
      <c r="E3634" t="inlineStr">
        <is>
          <t>HÄSSLEHOLM</t>
        </is>
      </c>
      <c r="G3634" t="n">
        <v>4.5</v>
      </c>
      <c r="H3634" t="n">
        <v>0</v>
      </c>
      <c r="I3634" t="n">
        <v>0</v>
      </c>
      <c r="J3634" t="n">
        <v>0</v>
      </c>
      <c r="K3634" t="n">
        <v>0</v>
      </c>
      <c r="L3634" t="n">
        <v>0</v>
      </c>
      <c r="M3634" t="n">
        <v>0</v>
      </c>
      <c r="N3634" t="n">
        <v>0</v>
      </c>
      <c r="O3634" t="n">
        <v>0</v>
      </c>
      <c r="P3634" t="n">
        <v>0</v>
      </c>
      <c r="Q3634" t="n">
        <v>0</v>
      </c>
      <c r="R3634" s="2" t="inlineStr"/>
    </row>
    <row r="3635" ht="15" customHeight="1">
      <c r="A3635" t="inlineStr">
        <is>
          <t>A 3289-2024</t>
        </is>
      </c>
      <c r="B3635" s="1" t="n">
        <v>45316</v>
      </c>
      <c r="C3635" s="1" t="n">
        <v>45962</v>
      </c>
      <c r="D3635" t="inlineStr">
        <is>
          <t>SKÅNE LÄN</t>
        </is>
      </c>
      <c r="E3635" t="inlineStr">
        <is>
          <t>ÖSTRA GÖINGE</t>
        </is>
      </c>
      <c r="F3635" t="inlineStr">
        <is>
          <t>Sveaskog</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46343-2025</t>
        </is>
      </c>
      <c r="B3636" s="1" t="n">
        <v>45925.4690625</v>
      </c>
      <c r="C3636" s="1" t="n">
        <v>45962</v>
      </c>
      <c r="D3636" t="inlineStr">
        <is>
          <t>SKÅNE LÄN</t>
        </is>
      </c>
      <c r="E3636" t="inlineStr">
        <is>
          <t>KRISTIANSTAD</t>
        </is>
      </c>
      <c r="G3636" t="n">
        <v>3.8</v>
      </c>
      <c r="H3636" t="n">
        <v>0</v>
      </c>
      <c r="I3636" t="n">
        <v>0</v>
      </c>
      <c r="J3636" t="n">
        <v>0</v>
      </c>
      <c r="K3636" t="n">
        <v>0</v>
      </c>
      <c r="L3636" t="n">
        <v>0</v>
      </c>
      <c r="M3636" t="n">
        <v>0</v>
      </c>
      <c r="N3636" t="n">
        <v>0</v>
      </c>
      <c r="O3636" t="n">
        <v>0</v>
      </c>
      <c r="P3636" t="n">
        <v>0</v>
      </c>
      <c r="Q3636" t="n">
        <v>0</v>
      </c>
      <c r="R3636" s="2" t="inlineStr"/>
    </row>
    <row r="3637" ht="15" customHeight="1">
      <c r="A3637" t="inlineStr">
        <is>
          <t>A 42751-2022</t>
        </is>
      </c>
      <c r="B3637" s="1" t="n">
        <v>44832</v>
      </c>
      <c r="C3637" s="1" t="n">
        <v>45962</v>
      </c>
      <c r="D3637" t="inlineStr">
        <is>
          <t>SKÅNE LÄN</t>
        </is>
      </c>
      <c r="E3637" t="inlineStr">
        <is>
          <t>OSBY</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39414-2023</t>
        </is>
      </c>
      <c r="B3638" s="1" t="n">
        <v>45163</v>
      </c>
      <c r="C3638" s="1" t="n">
        <v>45962</v>
      </c>
      <c r="D3638" t="inlineStr">
        <is>
          <t>SKÅNE LÄN</t>
        </is>
      </c>
      <c r="E3638" t="inlineStr">
        <is>
          <t>SJÖBO</t>
        </is>
      </c>
      <c r="G3638" t="n">
        <v>3.7</v>
      </c>
      <c r="H3638" t="n">
        <v>0</v>
      </c>
      <c r="I3638" t="n">
        <v>0</v>
      </c>
      <c r="J3638" t="n">
        <v>0</v>
      </c>
      <c r="K3638" t="n">
        <v>0</v>
      </c>
      <c r="L3638" t="n">
        <v>0</v>
      </c>
      <c r="M3638" t="n">
        <v>0</v>
      </c>
      <c r="N3638" t="n">
        <v>0</v>
      </c>
      <c r="O3638" t="n">
        <v>0</v>
      </c>
      <c r="P3638" t="n">
        <v>0</v>
      </c>
      <c r="Q3638" t="n">
        <v>0</v>
      </c>
      <c r="R3638" s="2" t="inlineStr"/>
    </row>
    <row r="3639" ht="15" customHeight="1">
      <c r="A3639" t="inlineStr">
        <is>
          <t>A 54326-2022</t>
        </is>
      </c>
      <c r="B3639" s="1" t="n">
        <v>44882.42965277778</v>
      </c>
      <c r="C3639" s="1" t="n">
        <v>45962</v>
      </c>
      <c r="D3639" t="inlineStr">
        <is>
          <t>SKÅNE LÄN</t>
        </is>
      </c>
      <c r="E3639" t="inlineStr">
        <is>
          <t>HÄSSLEHOLM</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40149-2024</t>
        </is>
      </c>
      <c r="B3640" s="1" t="n">
        <v>45554</v>
      </c>
      <c r="C3640" s="1" t="n">
        <v>45962</v>
      </c>
      <c r="D3640" t="inlineStr">
        <is>
          <t>SKÅNE LÄN</t>
        </is>
      </c>
      <c r="E3640" t="inlineStr">
        <is>
          <t>KRISTIANSTAD</t>
        </is>
      </c>
      <c r="G3640" t="n">
        <v>9.1</v>
      </c>
      <c r="H3640" t="n">
        <v>0</v>
      </c>
      <c r="I3640" t="n">
        <v>0</v>
      </c>
      <c r="J3640" t="n">
        <v>0</v>
      </c>
      <c r="K3640" t="n">
        <v>0</v>
      </c>
      <c r="L3640" t="n">
        <v>0</v>
      </c>
      <c r="M3640" t="n">
        <v>0</v>
      </c>
      <c r="N3640" t="n">
        <v>0</v>
      </c>
      <c r="O3640" t="n">
        <v>0</v>
      </c>
      <c r="P3640" t="n">
        <v>0</v>
      </c>
      <c r="Q3640" t="n">
        <v>0</v>
      </c>
      <c r="R3640" s="2" t="inlineStr"/>
    </row>
    <row r="3641" ht="15" customHeight="1">
      <c r="A3641" t="inlineStr">
        <is>
          <t>A 30108-2025</t>
        </is>
      </c>
      <c r="B3641" s="1" t="n">
        <v>45826.69407407408</v>
      </c>
      <c r="C3641" s="1" t="n">
        <v>45962</v>
      </c>
      <c r="D3641" t="inlineStr">
        <is>
          <t>SKÅNE LÄN</t>
        </is>
      </c>
      <c r="E3641" t="inlineStr">
        <is>
          <t>ÖSTRA GÖINGE</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46288-2023</t>
        </is>
      </c>
      <c r="B3642" s="1" t="n">
        <v>45197.30221064815</v>
      </c>
      <c r="C3642" s="1" t="n">
        <v>45962</v>
      </c>
      <c r="D3642" t="inlineStr">
        <is>
          <t>SKÅNE LÄN</t>
        </is>
      </c>
      <c r="E3642" t="inlineStr">
        <is>
          <t>HÄSSLEHOLM</t>
        </is>
      </c>
      <c r="G3642" t="n">
        <v>3</v>
      </c>
      <c r="H3642" t="n">
        <v>0</v>
      </c>
      <c r="I3642" t="n">
        <v>0</v>
      </c>
      <c r="J3642" t="n">
        <v>0</v>
      </c>
      <c r="K3642" t="n">
        <v>0</v>
      </c>
      <c r="L3642" t="n">
        <v>0</v>
      </c>
      <c r="M3642" t="n">
        <v>0</v>
      </c>
      <c r="N3642" t="n">
        <v>0</v>
      </c>
      <c r="O3642" t="n">
        <v>0</v>
      </c>
      <c r="P3642" t="n">
        <v>0</v>
      </c>
      <c r="Q3642" t="n">
        <v>0</v>
      </c>
      <c r="R3642" s="2" t="inlineStr"/>
    </row>
    <row r="3643" ht="15" customHeight="1">
      <c r="A3643" t="inlineStr">
        <is>
          <t>A 42909-2024</t>
        </is>
      </c>
      <c r="B3643" s="1" t="n">
        <v>45566</v>
      </c>
      <c r="C3643" s="1" t="n">
        <v>45962</v>
      </c>
      <c r="D3643" t="inlineStr">
        <is>
          <t>SKÅNE LÄN</t>
        </is>
      </c>
      <c r="E3643" t="inlineStr">
        <is>
          <t>BROMÖLLA</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54174-2022</t>
        </is>
      </c>
      <c r="B3644" s="1" t="n">
        <v>44881</v>
      </c>
      <c r="C3644" s="1" t="n">
        <v>45962</v>
      </c>
      <c r="D3644" t="inlineStr">
        <is>
          <t>SKÅNE LÄN</t>
        </is>
      </c>
      <c r="E3644" t="inlineStr">
        <is>
          <t>HÄSSLEHOLM</t>
        </is>
      </c>
      <c r="G3644" t="n">
        <v>0.6</v>
      </c>
      <c r="H3644" t="n">
        <v>0</v>
      </c>
      <c r="I3644" t="n">
        <v>0</v>
      </c>
      <c r="J3644" t="n">
        <v>0</v>
      </c>
      <c r="K3644" t="n">
        <v>0</v>
      </c>
      <c r="L3644" t="n">
        <v>0</v>
      </c>
      <c r="M3644" t="n">
        <v>0</v>
      </c>
      <c r="N3644" t="n">
        <v>0</v>
      </c>
      <c r="O3644" t="n">
        <v>0</v>
      </c>
      <c r="P3644" t="n">
        <v>0</v>
      </c>
      <c r="Q3644" t="n">
        <v>0</v>
      </c>
      <c r="R3644" s="2" t="inlineStr"/>
    </row>
    <row r="3645" ht="15" customHeight="1">
      <c r="A3645" t="inlineStr">
        <is>
          <t>A 32584-2022</t>
        </is>
      </c>
      <c r="B3645" s="1" t="n">
        <v>44783</v>
      </c>
      <c r="C3645" s="1" t="n">
        <v>45962</v>
      </c>
      <c r="D3645" t="inlineStr">
        <is>
          <t>SKÅNE LÄN</t>
        </is>
      </c>
      <c r="E3645" t="inlineStr">
        <is>
          <t>OSBY</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60783-2023</t>
        </is>
      </c>
      <c r="B3646" s="1" t="n">
        <v>45260.6441087963</v>
      </c>
      <c r="C3646" s="1" t="n">
        <v>45962</v>
      </c>
      <c r="D3646" t="inlineStr">
        <is>
          <t>SKÅNE LÄN</t>
        </is>
      </c>
      <c r="E3646" t="inlineStr">
        <is>
          <t>KLIPPAN</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49106-2023</t>
        </is>
      </c>
      <c r="B3647" s="1" t="n">
        <v>45210</v>
      </c>
      <c r="C3647" s="1" t="n">
        <v>45962</v>
      </c>
      <c r="D3647" t="inlineStr">
        <is>
          <t>SKÅNE LÄN</t>
        </is>
      </c>
      <c r="E3647" t="inlineStr">
        <is>
          <t>HÄSSLEHOLM</t>
        </is>
      </c>
      <c r="G3647" t="n">
        <v>0.3</v>
      </c>
      <c r="H3647" t="n">
        <v>0</v>
      </c>
      <c r="I3647" t="n">
        <v>0</v>
      </c>
      <c r="J3647" t="n">
        <v>0</v>
      </c>
      <c r="K3647" t="n">
        <v>0</v>
      </c>
      <c r="L3647" t="n">
        <v>0</v>
      </c>
      <c r="M3647" t="n">
        <v>0</v>
      </c>
      <c r="N3647" t="n">
        <v>0</v>
      </c>
      <c r="O3647" t="n">
        <v>0</v>
      </c>
      <c r="P3647" t="n">
        <v>0</v>
      </c>
      <c r="Q3647" t="n">
        <v>0</v>
      </c>
      <c r="R3647" s="2" t="inlineStr"/>
    </row>
    <row r="3648" ht="15" customHeight="1">
      <c r="A3648" t="inlineStr">
        <is>
          <t>A 46619-2024</t>
        </is>
      </c>
      <c r="B3648" s="1" t="n">
        <v>45583.32314814815</v>
      </c>
      <c r="C3648" s="1" t="n">
        <v>45962</v>
      </c>
      <c r="D3648" t="inlineStr">
        <is>
          <t>SKÅNE LÄN</t>
        </is>
      </c>
      <c r="E3648" t="inlineStr">
        <is>
          <t>KLIPPAN</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30343-2025</t>
        </is>
      </c>
      <c r="B3649" s="1" t="n">
        <v>45827</v>
      </c>
      <c r="C3649" s="1" t="n">
        <v>45962</v>
      </c>
      <c r="D3649" t="inlineStr">
        <is>
          <t>SKÅNE LÄN</t>
        </is>
      </c>
      <c r="E3649" t="inlineStr">
        <is>
          <t>SJÖBO</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38562-2023</t>
        </is>
      </c>
      <c r="B3650" s="1" t="n">
        <v>45162</v>
      </c>
      <c r="C3650" s="1" t="n">
        <v>45962</v>
      </c>
      <c r="D3650" t="inlineStr">
        <is>
          <t>SKÅNE LÄN</t>
        </is>
      </c>
      <c r="E3650" t="inlineStr">
        <is>
          <t>TOMELILLA</t>
        </is>
      </c>
      <c r="G3650" t="n">
        <v>2.2</v>
      </c>
      <c r="H3650" t="n">
        <v>0</v>
      </c>
      <c r="I3650" t="n">
        <v>0</v>
      </c>
      <c r="J3650" t="n">
        <v>0</v>
      </c>
      <c r="K3650" t="n">
        <v>0</v>
      </c>
      <c r="L3650" t="n">
        <v>0</v>
      </c>
      <c r="M3650" t="n">
        <v>0</v>
      </c>
      <c r="N3650" t="n">
        <v>0</v>
      </c>
      <c r="O3650" t="n">
        <v>0</v>
      </c>
      <c r="P3650" t="n">
        <v>0</v>
      </c>
      <c r="Q3650" t="n">
        <v>0</v>
      </c>
      <c r="R3650" s="2" t="inlineStr"/>
    </row>
    <row r="3651" ht="15" customHeight="1">
      <c r="A3651" t="inlineStr">
        <is>
          <t>A 68428-2020</t>
        </is>
      </c>
      <c r="B3651" s="1" t="n">
        <v>44183</v>
      </c>
      <c r="C3651" s="1" t="n">
        <v>45962</v>
      </c>
      <c r="D3651" t="inlineStr">
        <is>
          <t>SKÅNE LÄN</t>
        </is>
      </c>
      <c r="E3651" t="inlineStr">
        <is>
          <t>ÄNGELHOLM</t>
        </is>
      </c>
      <c r="G3651" t="n">
        <v>1</v>
      </c>
      <c r="H3651" t="n">
        <v>0</v>
      </c>
      <c r="I3651" t="n">
        <v>0</v>
      </c>
      <c r="J3651" t="n">
        <v>0</v>
      </c>
      <c r="K3651" t="n">
        <v>0</v>
      </c>
      <c r="L3651" t="n">
        <v>0</v>
      </c>
      <c r="M3651" t="n">
        <v>0</v>
      </c>
      <c r="N3651" t="n">
        <v>0</v>
      </c>
      <c r="O3651" t="n">
        <v>0</v>
      </c>
      <c r="P3651" t="n">
        <v>0</v>
      </c>
      <c r="Q3651" t="n">
        <v>0</v>
      </c>
      <c r="R3651" s="2" t="inlineStr"/>
    </row>
    <row r="3652" ht="15" customHeight="1">
      <c r="A3652" t="inlineStr">
        <is>
          <t>A 63139-2023</t>
        </is>
      </c>
      <c r="B3652" s="1" t="n">
        <v>45273</v>
      </c>
      <c r="C3652" s="1" t="n">
        <v>45962</v>
      </c>
      <c r="D3652" t="inlineStr">
        <is>
          <t>SKÅNE LÄN</t>
        </is>
      </c>
      <c r="E3652" t="inlineStr">
        <is>
          <t>HÖÖR</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63167-2023</t>
        </is>
      </c>
      <c r="B3653" s="1" t="n">
        <v>45273.56233796296</v>
      </c>
      <c r="C3653" s="1" t="n">
        <v>45962</v>
      </c>
      <c r="D3653" t="inlineStr">
        <is>
          <t>SKÅNE LÄN</t>
        </is>
      </c>
      <c r="E3653" t="inlineStr">
        <is>
          <t>ÖSTRA GÖINGE</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30451-2025</t>
        </is>
      </c>
      <c r="B3654" s="1" t="n">
        <v>45827</v>
      </c>
      <c r="C3654" s="1" t="n">
        <v>45962</v>
      </c>
      <c r="D3654" t="inlineStr">
        <is>
          <t>SKÅNE LÄN</t>
        </is>
      </c>
      <c r="E3654" t="inlineStr">
        <is>
          <t>SJÖBO</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30453-2025</t>
        </is>
      </c>
      <c r="B3655" s="1" t="n">
        <v>45827</v>
      </c>
      <c r="C3655" s="1" t="n">
        <v>45962</v>
      </c>
      <c r="D3655" t="inlineStr">
        <is>
          <t>SKÅNE LÄN</t>
        </is>
      </c>
      <c r="E3655" t="inlineStr">
        <is>
          <t>SJÖBO</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38376-2022</t>
        </is>
      </c>
      <c r="B3656" s="1" t="n">
        <v>44812</v>
      </c>
      <c r="C3656" s="1" t="n">
        <v>45962</v>
      </c>
      <c r="D3656" t="inlineStr">
        <is>
          <t>SKÅNE LÄN</t>
        </is>
      </c>
      <c r="E3656" t="inlineStr">
        <is>
          <t>HÄSSLEHOLM</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61491-2024</t>
        </is>
      </c>
      <c r="B3657" s="1" t="n">
        <v>45646.55054398148</v>
      </c>
      <c r="C3657" s="1" t="n">
        <v>45962</v>
      </c>
      <c r="D3657" t="inlineStr">
        <is>
          <t>SKÅNE LÄN</t>
        </is>
      </c>
      <c r="E3657" t="inlineStr">
        <is>
          <t>KRISTIANSTAD</t>
        </is>
      </c>
      <c r="F3657" t="inlineStr">
        <is>
          <t>Övriga Aktiebolag</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46993-2025</t>
        </is>
      </c>
      <c r="B3658" s="1" t="n">
        <v>45929.54670138889</v>
      </c>
      <c r="C3658" s="1" t="n">
        <v>45962</v>
      </c>
      <c r="D3658" t="inlineStr">
        <is>
          <t>SKÅNE LÄN</t>
        </is>
      </c>
      <c r="E3658" t="inlineStr">
        <is>
          <t>BJUV</t>
        </is>
      </c>
      <c r="G3658" t="n">
        <v>2.8</v>
      </c>
      <c r="H3658" t="n">
        <v>0</v>
      </c>
      <c r="I3658" t="n">
        <v>0</v>
      </c>
      <c r="J3658" t="n">
        <v>0</v>
      </c>
      <c r="K3658" t="n">
        <v>0</v>
      </c>
      <c r="L3658" t="n">
        <v>0</v>
      </c>
      <c r="M3658" t="n">
        <v>0</v>
      </c>
      <c r="N3658" t="n">
        <v>0</v>
      </c>
      <c r="O3658" t="n">
        <v>0</v>
      </c>
      <c r="P3658" t="n">
        <v>0</v>
      </c>
      <c r="Q3658" t="n">
        <v>0</v>
      </c>
      <c r="R3658" s="2" t="inlineStr"/>
    </row>
    <row r="3659" ht="15" customHeight="1">
      <c r="A3659" t="inlineStr">
        <is>
          <t>A 33984-2025</t>
        </is>
      </c>
      <c r="B3659" s="1" t="n">
        <v>45843</v>
      </c>
      <c r="C3659" s="1" t="n">
        <v>45962</v>
      </c>
      <c r="D3659" t="inlineStr">
        <is>
          <t>SKÅNE LÄN</t>
        </is>
      </c>
      <c r="E3659" t="inlineStr">
        <is>
          <t>KRISTIANSTAD</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10409-2024</t>
        </is>
      </c>
      <c r="B3660" s="1" t="n">
        <v>45365.6978125</v>
      </c>
      <c r="C3660" s="1" t="n">
        <v>45962</v>
      </c>
      <c r="D3660" t="inlineStr">
        <is>
          <t>SKÅNE LÄN</t>
        </is>
      </c>
      <c r="E3660" t="inlineStr">
        <is>
          <t>HÄSSLEHOLM</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1222-2023</t>
        </is>
      </c>
      <c r="B3661" s="1" t="n">
        <v>44935.94474537037</v>
      </c>
      <c r="C3661" s="1" t="n">
        <v>45962</v>
      </c>
      <c r="D3661" t="inlineStr">
        <is>
          <t>SKÅNE LÄN</t>
        </is>
      </c>
      <c r="E3661" t="inlineStr">
        <is>
          <t>OSBY</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14619-2023</t>
        </is>
      </c>
      <c r="B3662" s="1" t="n">
        <v>45013</v>
      </c>
      <c r="C3662" s="1" t="n">
        <v>45962</v>
      </c>
      <c r="D3662" t="inlineStr">
        <is>
          <t>SKÅNE LÄN</t>
        </is>
      </c>
      <c r="E3662" t="inlineStr">
        <is>
          <t>KLIPPAN</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47248-2023</t>
        </is>
      </c>
      <c r="B3663" s="1" t="n">
        <v>45202</v>
      </c>
      <c r="C3663" s="1" t="n">
        <v>45962</v>
      </c>
      <c r="D3663" t="inlineStr">
        <is>
          <t>SKÅNE LÄN</t>
        </is>
      </c>
      <c r="E3663" t="inlineStr">
        <is>
          <t>HÄSSLEHOLM</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11384-2021</t>
        </is>
      </c>
      <c r="B3664" s="1" t="n">
        <v>44263</v>
      </c>
      <c r="C3664" s="1" t="n">
        <v>45962</v>
      </c>
      <c r="D3664" t="inlineStr">
        <is>
          <t>SKÅNE LÄN</t>
        </is>
      </c>
      <c r="E3664" t="inlineStr">
        <is>
          <t>ÖSTRA GÖINGE</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28625-2023</t>
        </is>
      </c>
      <c r="B3665" s="1" t="n">
        <v>45103.60590277778</v>
      </c>
      <c r="C3665" s="1" t="n">
        <v>45962</v>
      </c>
      <c r="D3665" t="inlineStr">
        <is>
          <t>SKÅNE LÄN</t>
        </is>
      </c>
      <c r="E3665" t="inlineStr">
        <is>
          <t>HÖRBY</t>
        </is>
      </c>
      <c r="G3665" t="n">
        <v>4.8</v>
      </c>
      <c r="H3665" t="n">
        <v>0</v>
      </c>
      <c r="I3665" t="n">
        <v>0</v>
      </c>
      <c r="J3665" t="n">
        <v>0</v>
      </c>
      <c r="K3665" t="n">
        <v>0</v>
      </c>
      <c r="L3665" t="n">
        <v>0</v>
      </c>
      <c r="M3665" t="n">
        <v>0</v>
      </c>
      <c r="N3665" t="n">
        <v>0</v>
      </c>
      <c r="O3665" t="n">
        <v>0</v>
      </c>
      <c r="P3665" t="n">
        <v>0</v>
      </c>
      <c r="Q3665" t="n">
        <v>0</v>
      </c>
      <c r="R3665" s="2" t="inlineStr"/>
    </row>
    <row r="3666" ht="15" customHeight="1">
      <c r="A3666" t="inlineStr">
        <is>
          <t>A 38486-2023</t>
        </is>
      </c>
      <c r="B3666" s="1" t="n">
        <v>45162.48063657407</v>
      </c>
      <c r="C3666" s="1" t="n">
        <v>45962</v>
      </c>
      <c r="D3666" t="inlineStr">
        <is>
          <t>SKÅNE LÄN</t>
        </is>
      </c>
      <c r="E3666" t="inlineStr">
        <is>
          <t>OSBY</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20990-2023</t>
        </is>
      </c>
      <c r="B3667" s="1" t="n">
        <v>45061.46186342592</v>
      </c>
      <c r="C3667" s="1" t="n">
        <v>45962</v>
      </c>
      <c r="D3667" t="inlineStr">
        <is>
          <t>SKÅNE LÄN</t>
        </is>
      </c>
      <c r="E3667" t="inlineStr">
        <is>
          <t>HÄSSLEHOLM</t>
        </is>
      </c>
      <c r="G3667" t="n">
        <v>2.8</v>
      </c>
      <c r="H3667" t="n">
        <v>0</v>
      </c>
      <c r="I3667" t="n">
        <v>0</v>
      </c>
      <c r="J3667" t="n">
        <v>0</v>
      </c>
      <c r="K3667" t="n">
        <v>0</v>
      </c>
      <c r="L3667" t="n">
        <v>0</v>
      </c>
      <c r="M3667" t="n">
        <v>0</v>
      </c>
      <c r="N3667" t="n">
        <v>0</v>
      </c>
      <c r="O3667" t="n">
        <v>0</v>
      </c>
      <c r="P3667" t="n">
        <v>0</v>
      </c>
      <c r="Q3667" t="n">
        <v>0</v>
      </c>
      <c r="R3667" s="2" t="inlineStr"/>
    </row>
    <row r="3668" ht="15" customHeight="1">
      <c r="A3668" t="inlineStr">
        <is>
          <t>A 21066-2023</t>
        </is>
      </c>
      <c r="B3668" s="1" t="n">
        <v>45061</v>
      </c>
      <c r="C3668" s="1" t="n">
        <v>45962</v>
      </c>
      <c r="D3668" t="inlineStr">
        <is>
          <t>SKÅNE LÄN</t>
        </is>
      </c>
      <c r="E3668" t="inlineStr">
        <is>
          <t>HÖÖR</t>
        </is>
      </c>
      <c r="F3668" t="inlineStr">
        <is>
          <t>Sveaskog</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54631-2023</t>
        </is>
      </c>
      <c r="B3669" s="1" t="n">
        <v>45228</v>
      </c>
      <c r="C3669" s="1" t="n">
        <v>45962</v>
      </c>
      <c r="D3669" t="inlineStr">
        <is>
          <t>SKÅNE LÄN</t>
        </is>
      </c>
      <c r="E3669" t="inlineStr">
        <is>
          <t>KRISTIANSTAD</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54659-2023</t>
        </is>
      </c>
      <c r="B3670" s="1" t="n">
        <v>45235</v>
      </c>
      <c r="C3670" s="1" t="n">
        <v>45962</v>
      </c>
      <c r="D3670" t="inlineStr">
        <is>
          <t>SKÅNE LÄN</t>
        </is>
      </c>
      <c r="E3670" t="inlineStr">
        <is>
          <t>HÄSSLEHOLM</t>
        </is>
      </c>
      <c r="G3670" t="n">
        <v>5</v>
      </c>
      <c r="H3670" t="n">
        <v>0</v>
      </c>
      <c r="I3670" t="n">
        <v>0</v>
      </c>
      <c r="J3670" t="n">
        <v>0</v>
      </c>
      <c r="K3670" t="n">
        <v>0</v>
      </c>
      <c r="L3670" t="n">
        <v>0</v>
      </c>
      <c r="M3670" t="n">
        <v>0</v>
      </c>
      <c r="N3670" t="n">
        <v>0</v>
      </c>
      <c r="O3670" t="n">
        <v>0</v>
      </c>
      <c r="P3670" t="n">
        <v>0</v>
      </c>
      <c r="Q3670" t="n">
        <v>0</v>
      </c>
      <c r="R3670" s="2" t="inlineStr"/>
    </row>
    <row r="3671" ht="15" customHeight="1">
      <c r="A3671" t="inlineStr">
        <is>
          <t>A 57810-2022</t>
        </is>
      </c>
      <c r="B3671" s="1" t="n">
        <v>44897</v>
      </c>
      <c r="C3671" s="1" t="n">
        <v>45962</v>
      </c>
      <c r="D3671" t="inlineStr">
        <is>
          <t>SKÅNE LÄN</t>
        </is>
      </c>
      <c r="E3671" t="inlineStr">
        <is>
          <t>TRELLEBORG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5426-2024</t>
        </is>
      </c>
      <c r="B3672" s="1" t="n">
        <v>45331.81311342592</v>
      </c>
      <c r="C3672" s="1" t="n">
        <v>45962</v>
      </c>
      <c r="D3672" t="inlineStr">
        <is>
          <t>SKÅNE LÄN</t>
        </is>
      </c>
      <c r="E3672" t="inlineStr">
        <is>
          <t>ÖSTRA GÖINGE</t>
        </is>
      </c>
      <c r="G3672" t="n">
        <v>3.5</v>
      </c>
      <c r="H3672" t="n">
        <v>0</v>
      </c>
      <c r="I3672" t="n">
        <v>0</v>
      </c>
      <c r="J3672" t="n">
        <v>0</v>
      </c>
      <c r="K3672" t="n">
        <v>0</v>
      </c>
      <c r="L3672" t="n">
        <v>0</v>
      </c>
      <c r="M3672" t="n">
        <v>0</v>
      </c>
      <c r="N3672" t="n">
        <v>0</v>
      </c>
      <c r="O3672" t="n">
        <v>0</v>
      </c>
      <c r="P3672" t="n">
        <v>0</v>
      </c>
      <c r="Q3672" t="n">
        <v>0</v>
      </c>
      <c r="R3672" s="2" t="inlineStr"/>
    </row>
    <row r="3673" ht="15" customHeight="1">
      <c r="A3673" t="inlineStr">
        <is>
          <t>A 18340-2024</t>
        </is>
      </c>
      <c r="B3673" s="1" t="n">
        <v>45422.58119212963</v>
      </c>
      <c r="C3673" s="1" t="n">
        <v>45962</v>
      </c>
      <c r="D3673" t="inlineStr">
        <is>
          <t>SKÅNE LÄN</t>
        </is>
      </c>
      <c r="E3673" t="inlineStr">
        <is>
          <t>ÖSTRA GÖINGE</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15036-2024</t>
        </is>
      </c>
      <c r="B3674" s="1" t="n">
        <v>45399.48100694444</v>
      </c>
      <c r="C3674" s="1" t="n">
        <v>45962</v>
      </c>
      <c r="D3674" t="inlineStr">
        <is>
          <t>SKÅNE LÄN</t>
        </is>
      </c>
      <c r="E3674" t="inlineStr">
        <is>
          <t>HÄSSLEHOLM</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10937-2022</t>
        </is>
      </c>
      <c r="B3675" s="1" t="n">
        <v>44627</v>
      </c>
      <c r="C3675" s="1" t="n">
        <v>45962</v>
      </c>
      <c r="D3675" t="inlineStr">
        <is>
          <t>SKÅNE LÄN</t>
        </is>
      </c>
      <c r="E3675" t="inlineStr">
        <is>
          <t>ÖSTRA GÖINGE</t>
        </is>
      </c>
      <c r="G3675" t="n">
        <v>0.7</v>
      </c>
      <c r="H3675" t="n">
        <v>0</v>
      </c>
      <c r="I3675" t="n">
        <v>0</v>
      </c>
      <c r="J3675" t="n">
        <v>0</v>
      </c>
      <c r="K3675" t="n">
        <v>0</v>
      </c>
      <c r="L3675" t="n">
        <v>0</v>
      </c>
      <c r="M3675" t="n">
        <v>0</v>
      </c>
      <c r="N3675" t="n">
        <v>0</v>
      </c>
      <c r="O3675" t="n">
        <v>0</v>
      </c>
      <c r="P3675" t="n">
        <v>0</v>
      </c>
      <c r="Q3675" t="n">
        <v>0</v>
      </c>
      <c r="R3675" s="2" t="inlineStr"/>
    </row>
    <row r="3676" ht="15" customHeight="1">
      <c r="A3676" t="inlineStr">
        <is>
          <t>A 1936-2023</t>
        </is>
      </c>
      <c r="B3676" s="1" t="n">
        <v>44937</v>
      </c>
      <c r="C3676" s="1" t="n">
        <v>45962</v>
      </c>
      <c r="D3676" t="inlineStr">
        <is>
          <t>SKÅNE LÄN</t>
        </is>
      </c>
      <c r="E3676" t="inlineStr">
        <is>
          <t>ÖSTRA GÖINGE</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35171-2024</t>
        </is>
      </c>
      <c r="B3677" s="1" t="n">
        <v>45530</v>
      </c>
      <c r="C3677" s="1" t="n">
        <v>45962</v>
      </c>
      <c r="D3677" t="inlineStr">
        <is>
          <t>SKÅNE LÄN</t>
        </is>
      </c>
      <c r="E3677" t="inlineStr">
        <is>
          <t>ÖSTRA GÖINGE</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5869-2023</t>
        </is>
      </c>
      <c r="B3678" s="1" t="n">
        <v>44958</v>
      </c>
      <c r="C3678" s="1" t="n">
        <v>45962</v>
      </c>
      <c r="D3678" t="inlineStr">
        <is>
          <t>SKÅNE LÄN</t>
        </is>
      </c>
      <c r="E3678" t="inlineStr">
        <is>
          <t>ESLÖV</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19500-2024</t>
        </is>
      </c>
      <c r="B3679" s="1" t="n">
        <v>45429</v>
      </c>
      <c r="C3679" s="1" t="n">
        <v>45962</v>
      </c>
      <c r="D3679" t="inlineStr">
        <is>
          <t>SKÅNE LÄN</t>
        </is>
      </c>
      <c r="E3679" t="inlineStr">
        <is>
          <t>TOMELILLA</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17778-2024</t>
        </is>
      </c>
      <c r="B3680" s="1" t="n">
        <v>45418</v>
      </c>
      <c r="C3680" s="1" t="n">
        <v>45962</v>
      </c>
      <c r="D3680" t="inlineStr">
        <is>
          <t>SKÅNE LÄN</t>
        </is>
      </c>
      <c r="E3680" t="inlineStr">
        <is>
          <t>TOMELILLA</t>
        </is>
      </c>
      <c r="F3680" t="inlineStr">
        <is>
          <t>Övriga Aktiebolag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64469-2021</t>
        </is>
      </c>
      <c r="B3681" s="1" t="n">
        <v>44511</v>
      </c>
      <c r="C3681" s="1" t="n">
        <v>45962</v>
      </c>
      <c r="D3681" t="inlineStr">
        <is>
          <t>SKÅNE LÄN</t>
        </is>
      </c>
      <c r="E3681" t="inlineStr">
        <is>
          <t>OSBY</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13940-2025</t>
        </is>
      </c>
      <c r="B3682" s="1" t="n">
        <v>45737</v>
      </c>
      <c r="C3682" s="1" t="n">
        <v>45962</v>
      </c>
      <c r="D3682" t="inlineStr">
        <is>
          <t>SKÅNE LÄN</t>
        </is>
      </c>
      <c r="E3682" t="inlineStr">
        <is>
          <t>KRISTIANSTAD</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9709-2023</t>
        </is>
      </c>
      <c r="B3683" s="1" t="n">
        <v>44984.48376157408</v>
      </c>
      <c r="C3683" s="1" t="n">
        <v>45962</v>
      </c>
      <c r="D3683" t="inlineStr">
        <is>
          <t>SKÅNE LÄN</t>
        </is>
      </c>
      <c r="E3683" t="inlineStr">
        <is>
          <t>HÄSSLEHOLM</t>
        </is>
      </c>
      <c r="G3683" t="n">
        <v>0.6</v>
      </c>
      <c r="H3683" t="n">
        <v>0</v>
      </c>
      <c r="I3683" t="n">
        <v>0</v>
      </c>
      <c r="J3683" t="n">
        <v>0</v>
      </c>
      <c r="K3683" t="n">
        <v>0</v>
      </c>
      <c r="L3683" t="n">
        <v>0</v>
      </c>
      <c r="M3683" t="n">
        <v>0</v>
      </c>
      <c r="N3683" t="n">
        <v>0</v>
      </c>
      <c r="O3683" t="n">
        <v>0</v>
      </c>
      <c r="P3683" t="n">
        <v>0</v>
      </c>
      <c r="Q3683" t="n">
        <v>0</v>
      </c>
      <c r="R3683" s="2" t="inlineStr"/>
    </row>
    <row r="3684" ht="15" customHeight="1">
      <c r="A3684" t="inlineStr">
        <is>
          <t>A 9670-2023</t>
        </is>
      </c>
      <c r="B3684" s="1" t="n">
        <v>44978</v>
      </c>
      <c r="C3684" s="1" t="n">
        <v>45962</v>
      </c>
      <c r="D3684" t="inlineStr">
        <is>
          <t>SKÅNE LÄN</t>
        </is>
      </c>
      <c r="E3684" t="inlineStr">
        <is>
          <t>OSBY</t>
        </is>
      </c>
      <c r="F3684" t="inlineStr">
        <is>
          <t>Naturvårdsverket</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49610-2024</t>
        </is>
      </c>
      <c r="B3685" s="1" t="n">
        <v>45596</v>
      </c>
      <c r="C3685" s="1" t="n">
        <v>45962</v>
      </c>
      <c r="D3685" t="inlineStr">
        <is>
          <t>SKÅNE LÄN</t>
        </is>
      </c>
      <c r="E3685" t="inlineStr">
        <is>
          <t>ÄNGELHOLM</t>
        </is>
      </c>
      <c r="G3685" t="n">
        <v>6.4</v>
      </c>
      <c r="H3685" t="n">
        <v>0</v>
      </c>
      <c r="I3685" t="n">
        <v>0</v>
      </c>
      <c r="J3685" t="n">
        <v>0</v>
      </c>
      <c r="K3685" t="n">
        <v>0</v>
      </c>
      <c r="L3685" t="n">
        <v>0</v>
      </c>
      <c r="M3685" t="n">
        <v>0</v>
      </c>
      <c r="N3685" t="n">
        <v>0</v>
      </c>
      <c r="O3685" t="n">
        <v>0</v>
      </c>
      <c r="P3685" t="n">
        <v>0</v>
      </c>
      <c r="Q3685" t="n">
        <v>0</v>
      </c>
      <c r="R3685" s="2" t="inlineStr"/>
    </row>
    <row r="3686" ht="15" customHeight="1">
      <c r="A3686" t="inlineStr">
        <is>
          <t>A 30764-2025</t>
        </is>
      </c>
      <c r="B3686" s="1" t="n">
        <v>45831.60479166666</v>
      </c>
      <c r="C3686" s="1" t="n">
        <v>45962</v>
      </c>
      <c r="D3686" t="inlineStr">
        <is>
          <t>SKÅNE LÄN</t>
        </is>
      </c>
      <c r="E3686" t="inlineStr">
        <is>
          <t>KRISTIANSTAD</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54171-2022</t>
        </is>
      </c>
      <c r="B3687" s="1" t="n">
        <v>44881</v>
      </c>
      <c r="C3687" s="1" t="n">
        <v>45962</v>
      </c>
      <c r="D3687" t="inlineStr">
        <is>
          <t>SKÅNE LÄN</t>
        </is>
      </c>
      <c r="E3687" t="inlineStr">
        <is>
          <t>HÄSSLEHOLM</t>
        </is>
      </c>
      <c r="G3687" t="n">
        <v>0.5</v>
      </c>
      <c r="H3687" t="n">
        <v>0</v>
      </c>
      <c r="I3687" t="n">
        <v>0</v>
      </c>
      <c r="J3687" t="n">
        <v>0</v>
      </c>
      <c r="K3687" t="n">
        <v>0</v>
      </c>
      <c r="L3687" t="n">
        <v>0</v>
      </c>
      <c r="M3687" t="n">
        <v>0</v>
      </c>
      <c r="N3687" t="n">
        <v>0</v>
      </c>
      <c r="O3687" t="n">
        <v>0</v>
      </c>
      <c r="P3687" t="n">
        <v>0</v>
      </c>
      <c r="Q3687" t="n">
        <v>0</v>
      </c>
      <c r="R3687" s="2" t="inlineStr"/>
    </row>
    <row r="3688" ht="15" customHeight="1">
      <c r="A3688" t="inlineStr">
        <is>
          <t>A 25933-2023</t>
        </is>
      </c>
      <c r="B3688" s="1" t="n">
        <v>45090.6815625</v>
      </c>
      <c r="C3688" s="1" t="n">
        <v>45962</v>
      </c>
      <c r="D3688" t="inlineStr">
        <is>
          <t>SKÅNE LÄN</t>
        </is>
      </c>
      <c r="E3688" t="inlineStr">
        <is>
          <t>ÖSTRA GÖINGE</t>
        </is>
      </c>
      <c r="G3688" t="n">
        <v>12.8</v>
      </c>
      <c r="H3688" t="n">
        <v>0</v>
      </c>
      <c r="I3688" t="n">
        <v>0</v>
      </c>
      <c r="J3688" t="n">
        <v>0</v>
      </c>
      <c r="K3688" t="n">
        <v>0</v>
      </c>
      <c r="L3688" t="n">
        <v>0</v>
      </c>
      <c r="M3688" t="n">
        <v>0</v>
      </c>
      <c r="N3688" t="n">
        <v>0</v>
      </c>
      <c r="O3688" t="n">
        <v>0</v>
      </c>
      <c r="P3688" t="n">
        <v>0</v>
      </c>
      <c r="Q3688" t="n">
        <v>0</v>
      </c>
      <c r="R3688" s="2" t="inlineStr"/>
    </row>
    <row r="3689" ht="15" customHeight="1">
      <c r="A3689" t="inlineStr">
        <is>
          <t>A 10275-2024</t>
        </is>
      </c>
      <c r="B3689" s="1" t="n">
        <v>45365</v>
      </c>
      <c r="C3689" s="1" t="n">
        <v>45962</v>
      </c>
      <c r="D3689" t="inlineStr">
        <is>
          <t>SKÅNE LÄN</t>
        </is>
      </c>
      <c r="E3689" t="inlineStr">
        <is>
          <t>BROMÖLLA</t>
        </is>
      </c>
      <c r="G3689" t="n">
        <v>0.4</v>
      </c>
      <c r="H3689" t="n">
        <v>0</v>
      </c>
      <c r="I3689" t="n">
        <v>0</v>
      </c>
      <c r="J3689" t="n">
        <v>0</v>
      </c>
      <c r="K3689" t="n">
        <v>0</v>
      </c>
      <c r="L3689" t="n">
        <v>0</v>
      </c>
      <c r="M3689" t="n">
        <v>0</v>
      </c>
      <c r="N3689" t="n">
        <v>0</v>
      </c>
      <c r="O3689" t="n">
        <v>0</v>
      </c>
      <c r="P3689" t="n">
        <v>0</v>
      </c>
      <c r="Q3689" t="n">
        <v>0</v>
      </c>
      <c r="R3689" s="2" t="inlineStr"/>
    </row>
    <row r="3690" ht="15" customHeight="1">
      <c r="A3690" t="inlineStr">
        <is>
          <t>A 9615-2025</t>
        </is>
      </c>
      <c r="B3690" s="1" t="n">
        <v>45715</v>
      </c>
      <c r="C3690" s="1" t="n">
        <v>45962</v>
      </c>
      <c r="D3690" t="inlineStr">
        <is>
          <t>SKÅNE LÄN</t>
        </is>
      </c>
      <c r="E3690" t="inlineStr">
        <is>
          <t>HÄSSLEHOLM</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30775-2025</t>
        </is>
      </c>
      <c r="B3691" s="1" t="n">
        <v>45831.6150462963</v>
      </c>
      <c r="C3691" s="1" t="n">
        <v>45962</v>
      </c>
      <c r="D3691" t="inlineStr">
        <is>
          <t>SKÅNE LÄN</t>
        </is>
      </c>
      <c r="E3691" t="inlineStr">
        <is>
          <t>SIMRISHAMN</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7666-2025</t>
        </is>
      </c>
      <c r="B3692" s="1" t="n">
        <v>45706</v>
      </c>
      <c r="C3692" s="1" t="n">
        <v>45962</v>
      </c>
      <c r="D3692" t="inlineStr">
        <is>
          <t>SKÅNE LÄN</t>
        </is>
      </c>
      <c r="E3692" t="inlineStr">
        <is>
          <t>KRISTIANSTAD</t>
        </is>
      </c>
      <c r="G3692" t="n">
        <v>11.8</v>
      </c>
      <c r="H3692" t="n">
        <v>0</v>
      </c>
      <c r="I3692" t="n">
        <v>0</v>
      </c>
      <c r="J3692" t="n">
        <v>0</v>
      </c>
      <c r="K3692" t="n">
        <v>0</v>
      </c>
      <c r="L3692" t="n">
        <v>0</v>
      </c>
      <c r="M3692" t="n">
        <v>0</v>
      </c>
      <c r="N3692" t="n">
        <v>0</v>
      </c>
      <c r="O3692" t="n">
        <v>0</v>
      </c>
      <c r="P3692" t="n">
        <v>0</v>
      </c>
      <c r="Q3692" t="n">
        <v>0</v>
      </c>
      <c r="R3692" s="2" t="inlineStr"/>
    </row>
    <row r="3693" ht="15" customHeight="1">
      <c r="A3693" t="inlineStr">
        <is>
          <t>A 13875-2025</t>
        </is>
      </c>
      <c r="B3693" s="1" t="n">
        <v>45737</v>
      </c>
      <c r="C3693" s="1" t="n">
        <v>45962</v>
      </c>
      <c r="D3693" t="inlineStr">
        <is>
          <t>SKÅNE LÄN</t>
        </is>
      </c>
      <c r="E3693" t="inlineStr">
        <is>
          <t>KRISTIANSTAD</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8524-2024</t>
        </is>
      </c>
      <c r="B3694" s="1" t="n">
        <v>45355.48570601852</v>
      </c>
      <c r="C3694" s="1" t="n">
        <v>45962</v>
      </c>
      <c r="D3694" t="inlineStr">
        <is>
          <t>SKÅNE LÄN</t>
        </is>
      </c>
      <c r="E3694" t="inlineStr">
        <is>
          <t>HÄSSLEHOLM</t>
        </is>
      </c>
      <c r="G3694" t="n">
        <v>4</v>
      </c>
      <c r="H3694" t="n">
        <v>0</v>
      </c>
      <c r="I3694" t="n">
        <v>0</v>
      </c>
      <c r="J3694" t="n">
        <v>0</v>
      </c>
      <c r="K3694" t="n">
        <v>0</v>
      </c>
      <c r="L3694" t="n">
        <v>0</v>
      </c>
      <c r="M3694" t="n">
        <v>0</v>
      </c>
      <c r="N3694" t="n">
        <v>0</v>
      </c>
      <c r="O3694" t="n">
        <v>0</v>
      </c>
      <c r="P3694" t="n">
        <v>0</v>
      </c>
      <c r="Q3694" t="n">
        <v>0</v>
      </c>
      <c r="R3694" s="2" t="inlineStr"/>
    </row>
    <row r="3695" ht="15" customHeight="1">
      <c r="A3695" t="inlineStr">
        <is>
          <t>A 1531-2022</t>
        </is>
      </c>
      <c r="B3695" s="1" t="n">
        <v>44573</v>
      </c>
      <c r="C3695" s="1" t="n">
        <v>45962</v>
      </c>
      <c r="D3695" t="inlineStr">
        <is>
          <t>SKÅNE LÄN</t>
        </is>
      </c>
      <c r="E3695" t="inlineStr">
        <is>
          <t>BÅSTAD</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57277-2023</t>
        </is>
      </c>
      <c r="B3696" s="1" t="n">
        <v>45245.59104166667</v>
      </c>
      <c r="C3696" s="1" t="n">
        <v>45962</v>
      </c>
      <c r="D3696" t="inlineStr">
        <is>
          <t>SKÅNE LÄN</t>
        </is>
      </c>
      <c r="E3696" t="inlineStr">
        <is>
          <t>HÄSSLEHOLM</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57293-2023</t>
        </is>
      </c>
      <c r="B3697" s="1" t="n">
        <v>45245.60819444444</v>
      </c>
      <c r="C3697" s="1" t="n">
        <v>45962</v>
      </c>
      <c r="D3697" t="inlineStr">
        <is>
          <t>SKÅNE LÄN</t>
        </is>
      </c>
      <c r="E3697" t="inlineStr">
        <is>
          <t>ÖSTRA GÖINGE</t>
        </is>
      </c>
      <c r="G3697" t="n">
        <v>3.8</v>
      </c>
      <c r="H3697" t="n">
        <v>0</v>
      </c>
      <c r="I3697" t="n">
        <v>0</v>
      </c>
      <c r="J3697" t="n">
        <v>0</v>
      </c>
      <c r="K3697" t="n">
        <v>0</v>
      </c>
      <c r="L3697" t="n">
        <v>0</v>
      </c>
      <c r="M3697" t="n">
        <v>0</v>
      </c>
      <c r="N3697" t="n">
        <v>0</v>
      </c>
      <c r="O3697" t="n">
        <v>0</v>
      </c>
      <c r="P3697" t="n">
        <v>0</v>
      </c>
      <c r="Q3697" t="n">
        <v>0</v>
      </c>
      <c r="R3697" s="2" t="inlineStr"/>
    </row>
    <row r="3698" ht="15" customHeight="1">
      <c r="A3698" t="inlineStr">
        <is>
          <t>A 28352-2024</t>
        </is>
      </c>
      <c r="B3698" s="1" t="n">
        <v>45477</v>
      </c>
      <c r="C3698" s="1" t="n">
        <v>45962</v>
      </c>
      <c r="D3698" t="inlineStr">
        <is>
          <t>SKÅNE LÄN</t>
        </is>
      </c>
      <c r="E3698" t="inlineStr">
        <is>
          <t>HÖÖR</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2950-2023</t>
        </is>
      </c>
      <c r="B3699" s="1" t="n">
        <v>44945.62488425926</v>
      </c>
      <c r="C3699" s="1" t="n">
        <v>45962</v>
      </c>
      <c r="D3699" t="inlineStr">
        <is>
          <t>SKÅNE LÄN</t>
        </is>
      </c>
      <c r="E3699" t="inlineStr">
        <is>
          <t>PERSTORP</t>
        </is>
      </c>
      <c r="G3699" t="n">
        <v>1.7</v>
      </c>
      <c r="H3699" t="n">
        <v>0</v>
      </c>
      <c r="I3699" t="n">
        <v>0</v>
      </c>
      <c r="J3699" t="n">
        <v>0</v>
      </c>
      <c r="K3699" t="n">
        <v>0</v>
      </c>
      <c r="L3699" t="n">
        <v>0</v>
      </c>
      <c r="M3699" t="n">
        <v>0</v>
      </c>
      <c r="N3699" t="n">
        <v>0</v>
      </c>
      <c r="O3699" t="n">
        <v>0</v>
      </c>
      <c r="P3699" t="n">
        <v>0</v>
      </c>
      <c r="Q3699" t="n">
        <v>0</v>
      </c>
      <c r="R3699" s="2" t="inlineStr"/>
    </row>
    <row r="3700" ht="15" customHeight="1">
      <c r="A3700" t="inlineStr">
        <is>
          <t>A 27454-2024</t>
        </is>
      </c>
      <c r="B3700" s="1" t="n">
        <v>45474</v>
      </c>
      <c r="C3700" s="1" t="n">
        <v>45962</v>
      </c>
      <c r="D3700" t="inlineStr">
        <is>
          <t>SKÅNE LÄN</t>
        </is>
      </c>
      <c r="E3700" t="inlineStr">
        <is>
          <t>KLIPPAN</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38879-2025</t>
        </is>
      </c>
      <c r="B3701" s="1" t="n">
        <v>45887.5771875</v>
      </c>
      <c r="C3701" s="1" t="n">
        <v>45962</v>
      </c>
      <c r="D3701" t="inlineStr">
        <is>
          <t>SKÅNE LÄN</t>
        </is>
      </c>
      <c r="E3701" t="inlineStr">
        <is>
          <t>ÖRKELLJUNGA</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71741-2021</t>
        </is>
      </c>
      <c r="B3702" s="1" t="n">
        <v>44539</v>
      </c>
      <c r="C3702" s="1" t="n">
        <v>45962</v>
      </c>
      <c r="D3702" t="inlineStr">
        <is>
          <t>SKÅNE LÄN</t>
        </is>
      </c>
      <c r="E3702" t="inlineStr">
        <is>
          <t>ÖSTRA GÖINGE</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8750-2024</t>
        </is>
      </c>
      <c r="B3703" s="1" t="n">
        <v>45343</v>
      </c>
      <c r="C3703" s="1" t="n">
        <v>45962</v>
      </c>
      <c r="D3703" t="inlineStr">
        <is>
          <t>SKÅNE LÄN</t>
        </is>
      </c>
      <c r="E3703" t="inlineStr">
        <is>
          <t>KRISTIANSTAD</t>
        </is>
      </c>
      <c r="F3703" t="inlineStr">
        <is>
          <t>Sveaskog</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13928-2025</t>
        </is>
      </c>
      <c r="B3704" s="1" t="n">
        <v>45737</v>
      </c>
      <c r="C3704" s="1" t="n">
        <v>45962</v>
      </c>
      <c r="D3704" t="inlineStr">
        <is>
          <t>SKÅNE LÄN</t>
        </is>
      </c>
      <c r="E3704" t="inlineStr">
        <is>
          <t>KRISTIANSTAD</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13235-2025</t>
        </is>
      </c>
      <c r="B3705" s="1" t="n">
        <v>45735</v>
      </c>
      <c r="C3705" s="1" t="n">
        <v>45962</v>
      </c>
      <c r="D3705" t="inlineStr">
        <is>
          <t>SKÅNE LÄN</t>
        </is>
      </c>
      <c r="E3705" t="inlineStr">
        <is>
          <t>ÄNGELHOLM</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13243-2025</t>
        </is>
      </c>
      <c r="B3706" s="1" t="n">
        <v>45735</v>
      </c>
      <c r="C3706" s="1" t="n">
        <v>45962</v>
      </c>
      <c r="D3706" t="inlineStr">
        <is>
          <t>SKÅNE LÄN</t>
        </is>
      </c>
      <c r="E3706" t="inlineStr">
        <is>
          <t>ÄNGELHOLM</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11857-2025</t>
        </is>
      </c>
      <c r="B3707" s="1" t="n">
        <v>45728.39798611111</v>
      </c>
      <c r="C3707" s="1" t="n">
        <v>45962</v>
      </c>
      <c r="D3707" t="inlineStr">
        <is>
          <t>SKÅNE LÄN</t>
        </is>
      </c>
      <c r="E3707" t="inlineStr">
        <is>
          <t>KLIPPAN</t>
        </is>
      </c>
      <c r="F3707" t="inlineStr">
        <is>
          <t>Övriga Aktiebolag</t>
        </is>
      </c>
      <c r="G3707" t="n">
        <v>4.3</v>
      </c>
      <c r="H3707" t="n">
        <v>0</v>
      </c>
      <c r="I3707" t="n">
        <v>0</v>
      </c>
      <c r="J3707" t="n">
        <v>0</v>
      </c>
      <c r="K3707" t="n">
        <v>0</v>
      </c>
      <c r="L3707" t="n">
        <v>0</v>
      </c>
      <c r="M3707" t="n">
        <v>0</v>
      </c>
      <c r="N3707" t="n">
        <v>0</v>
      </c>
      <c r="O3707" t="n">
        <v>0</v>
      </c>
      <c r="P3707" t="n">
        <v>0</v>
      </c>
      <c r="Q3707" t="n">
        <v>0</v>
      </c>
      <c r="R3707" s="2" t="inlineStr"/>
    </row>
    <row r="3708" ht="15" customHeight="1">
      <c r="A3708" t="inlineStr">
        <is>
          <t>A 11669-2023</t>
        </is>
      </c>
      <c r="B3708" s="1" t="n">
        <v>44992</v>
      </c>
      <c r="C3708" s="1" t="n">
        <v>45962</v>
      </c>
      <c r="D3708" t="inlineStr">
        <is>
          <t>SKÅNE LÄN</t>
        </is>
      </c>
      <c r="E3708" t="inlineStr">
        <is>
          <t>PERSTORP</t>
        </is>
      </c>
      <c r="F3708" t="inlineStr">
        <is>
          <t>Övriga Aktiebolag</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62117-2022</t>
        </is>
      </c>
      <c r="B3709" s="1" t="n">
        <v>44921.55061342593</v>
      </c>
      <c r="C3709" s="1" t="n">
        <v>45962</v>
      </c>
      <c r="D3709" t="inlineStr">
        <is>
          <t>SKÅNE LÄN</t>
        </is>
      </c>
      <c r="E3709" t="inlineStr">
        <is>
          <t>OSBY</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29284-2025</t>
        </is>
      </c>
      <c r="B3710" s="1" t="n">
        <v>45824</v>
      </c>
      <c r="C3710" s="1" t="n">
        <v>45962</v>
      </c>
      <c r="D3710" t="inlineStr">
        <is>
          <t>SKÅNE LÄN</t>
        </is>
      </c>
      <c r="E3710" t="inlineStr">
        <is>
          <t>KLIPPAN</t>
        </is>
      </c>
      <c r="G3710" t="n">
        <v>0.4</v>
      </c>
      <c r="H3710" t="n">
        <v>0</v>
      </c>
      <c r="I3710" t="n">
        <v>0</v>
      </c>
      <c r="J3710" t="n">
        <v>0</v>
      </c>
      <c r="K3710" t="n">
        <v>0</v>
      </c>
      <c r="L3710" t="n">
        <v>0</v>
      </c>
      <c r="M3710" t="n">
        <v>0</v>
      </c>
      <c r="N3710" t="n">
        <v>0</v>
      </c>
      <c r="O3710" t="n">
        <v>0</v>
      </c>
      <c r="P3710" t="n">
        <v>0</v>
      </c>
      <c r="Q3710" t="n">
        <v>0</v>
      </c>
      <c r="R3710" s="2" t="inlineStr"/>
    </row>
    <row r="3711" ht="15" customHeight="1">
      <c r="A3711" t="inlineStr">
        <is>
          <t>A 11335-2023</t>
        </is>
      </c>
      <c r="B3711" s="1" t="n">
        <v>44993</v>
      </c>
      <c r="C3711" s="1" t="n">
        <v>45962</v>
      </c>
      <c r="D3711" t="inlineStr">
        <is>
          <t>SKÅNE LÄN</t>
        </is>
      </c>
      <c r="E3711" t="inlineStr">
        <is>
          <t>KLIPPAN</t>
        </is>
      </c>
      <c r="G3711" t="n">
        <v>1.3</v>
      </c>
      <c r="H3711" t="n">
        <v>0</v>
      </c>
      <c r="I3711" t="n">
        <v>0</v>
      </c>
      <c r="J3711" t="n">
        <v>0</v>
      </c>
      <c r="K3711" t="n">
        <v>0</v>
      </c>
      <c r="L3711" t="n">
        <v>0</v>
      </c>
      <c r="M3711" t="n">
        <v>0</v>
      </c>
      <c r="N3711" t="n">
        <v>0</v>
      </c>
      <c r="O3711" t="n">
        <v>0</v>
      </c>
      <c r="P3711" t="n">
        <v>0</v>
      </c>
      <c r="Q3711" t="n">
        <v>0</v>
      </c>
      <c r="R3711" s="2" t="inlineStr"/>
    </row>
    <row r="3712" ht="15" customHeight="1">
      <c r="A3712" t="inlineStr">
        <is>
          <t>A 24333-2022</t>
        </is>
      </c>
      <c r="B3712" s="1" t="n">
        <v>44726.32643518518</v>
      </c>
      <c r="C3712" s="1" t="n">
        <v>45962</v>
      </c>
      <c r="D3712" t="inlineStr">
        <is>
          <t>SKÅNE LÄN</t>
        </is>
      </c>
      <c r="E3712" t="inlineStr">
        <is>
          <t>KLIPPAN</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15905-2024</t>
        </is>
      </c>
      <c r="B3713" s="1" t="n">
        <v>45405</v>
      </c>
      <c r="C3713" s="1" t="n">
        <v>45962</v>
      </c>
      <c r="D3713" t="inlineStr">
        <is>
          <t>SKÅNE LÄN</t>
        </is>
      </c>
      <c r="E3713" t="inlineStr">
        <is>
          <t>HÖÖR</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30845-2025</t>
        </is>
      </c>
      <c r="B3714" s="1" t="n">
        <v>45831.79603009259</v>
      </c>
      <c r="C3714" s="1" t="n">
        <v>45962</v>
      </c>
      <c r="D3714" t="inlineStr">
        <is>
          <t>SKÅNE LÄN</t>
        </is>
      </c>
      <c r="E3714" t="inlineStr">
        <is>
          <t>ÖSTRA GÖINGE</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7947-2025</t>
        </is>
      </c>
      <c r="B3715" s="1" t="n">
        <v>45707.41185185185</v>
      </c>
      <c r="C3715" s="1" t="n">
        <v>45962</v>
      </c>
      <c r="D3715" t="inlineStr">
        <is>
          <t>SKÅNE LÄN</t>
        </is>
      </c>
      <c r="E3715" t="inlineStr">
        <is>
          <t>OSBY</t>
        </is>
      </c>
      <c r="G3715" t="n">
        <v>2.1</v>
      </c>
      <c r="H3715" t="n">
        <v>0</v>
      </c>
      <c r="I3715" t="n">
        <v>0</v>
      </c>
      <c r="J3715" t="n">
        <v>0</v>
      </c>
      <c r="K3715" t="n">
        <v>0</v>
      </c>
      <c r="L3715" t="n">
        <v>0</v>
      </c>
      <c r="M3715" t="n">
        <v>0</v>
      </c>
      <c r="N3715" t="n">
        <v>0</v>
      </c>
      <c r="O3715" t="n">
        <v>0</v>
      </c>
      <c r="P3715" t="n">
        <v>0</v>
      </c>
      <c r="Q3715" t="n">
        <v>0</v>
      </c>
      <c r="R3715" s="2" t="inlineStr"/>
    </row>
    <row r="3716" ht="15" customHeight="1">
      <c r="A3716" t="inlineStr">
        <is>
          <t>A 23987-2024</t>
        </is>
      </c>
      <c r="B3716" s="1" t="n">
        <v>45456</v>
      </c>
      <c r="C3716" s="1" t="n">
        <v>45962</v>
      </c>
      <c r="D3716" t="inlineStr">
        <is>
          <t>SKÅNE LÄN</t>
        </is>
      </c>
      <c r="E3716" t="inlineStr">
        <is>
          <t>HÄSSLEHOLM</t>
        </is>
      </c>
      <c r="G3716" t="n">
        <v>0.8</v>
      </c>
      <c r="H3716" t="n">
        <v>0</v>
      </c>
      <c r="I3716" t="n">
        <v>0</v>
      </c>
      <c r="J3716" t="n">
        <v>0</v>
      </c>
      <c r="K3716" t="n">
        <v>0</v>
      </c>
      <c r="L3716" t="n">
        <v>0</v>
      </c>
      <c r="M3716" t="n">
        <v>0</v>
      </c>
      <c r="N3716" t="n">
        <v>0</v>
      </c>
      <c r="O3716" t="n">
        <v>0</v>
      </c>
      <c r="P3716" t="n">
        <v>0</v>
      </c>
      <c r="Q3716" t="n">
        <v>0</v>
      </c>
      <c r="R3716" s="2" t="inlineStr"/>
    </row>
    <row r="3717" ht="15" customHeight="1">
      <c r="A3717" t="inlineStr">
        <is>
          <t>A 4042-2023</t>
        </is>
      </c>
      <c r="B3717" s="1" t="n">
        <v>44952.59950231481</v>
      </c>
      <c r="C3717" s="1" t="n">
        <v>45962</v>
      </c>
      <c r="D3717" t="inlineStr">
        <is>
          <t>SKÅNE LÄN</t>
        </is>
      </c>
      <c r="E3717" t="inlineStr">
        <is>
          <t>HÄSSLEHOLM</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31159-2025</t>
        </is>
      </c>
      <c r="B3718" s="1" t="n">
        <v>45832.65322916667</v>
      </c>
      <c r="C3718" s="1" t="n">
        <v>45962</v>
      </c>
      <c r="D3718" t="inlineStr">
        <is>
          <t>SKÅNE LÄN</t>
        </is>
      </c>
      <c r="E3718" t="inlineStr">
        <is>
          <t>HÄSSLEHOLM</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31334-2025</t>
        </is>
      </c>
      <c r="B3719" s="1" t="n">
        <v>45833.42586805556</v>
      </c>
      <c r="C3719" s="1" t="n">
        <v>45962</v>
      </c>
      <c r="D3719" t="inlineStr">
        <is>
          <t>SKÅNE LÄN</t>
        </is>
      </c>
      <c r="E3719" t="inlineStr">
        <is>
          <t>OSBY</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31343-2025</t>
        </is>
      </c>
      <c r="B3720" s="1" t="n">
        <v>45833.42826388889</v>
      </c>
      <c r="C3720" s="1" t="n">
        <v>45962</v>
      </c>
      <c r="D3720" t="inlineStr">
        <is>
          <t>SKÅNE LÄN</t>
        </is>
      </c>
      <c r="E3720" t="inlineStr">
        <is>
          <t>OSBY</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13363-2023</t>
        </is>
      </c>
      <c r="B3721" s="1" t="n">
        <v>45005</v>
      </c>
      <c r="C3721" s="1" t="n">
        <v>45962</v>
      </c>
      <c r="D3721" t="inlineStr">
        <is>
          <t>SKÅNE LÄN</t>
        </is>
      </c>
      <c r="E3721" t="inlineStr">
        <is>
          <t>KLIPPAN</t>
        </is>
      </c>
      <c r="F3721" t="inlineStr">
        <is>
          <t>Övriga Aktiebolag</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13429-2023</t>
        </is>
      </c>
      <c r="B3722" s="1" t="n">
        <v>45005.60744212963</v>
      </c>
      <c r="C3722" s="1" t="n">
        <v>45962</v>
      </c>
      <c r="D3722" t="inlineStr">
        <is>
          <t>SKÅNE LÄN</t>
        </is>
      </c>
      <c r="E3722" t="inlineStr">
        <is>
          <t>HÖÖR</t>
        </is>
      </c>
      <c r="G3722" t="n">
        <v>0.3</v>
      </c>
      <c r="H3722" t="n">
        <v>0</v>
      </c>
      <c r="I3722" t="n">
        <v>0</v>
      </c>
      <c r="J3722" t="n">
        <v>0</v>
      </c>
      <c r="K3722" t="n">
        <v>0</v>
      </c>
      <c r="L3722" t="n">
        <v>0</v>
      </c>
      <c r="M3722" t="n">
        <v>0</v>
      </c>
      <c r="N3722" t="n">
        <v>0</v>
      </c>
      <c r="O3722" t="n">
        <v>0</v>
      </c>
      <c r="P3722" t="n">
        <v>0</v>
      </c>
      <c r="Q3722" t="n">
        <v>0</v>
      </c>
      <c r="R3722" s="2" t="inlineStr"/>
    </row>
    <row r="3723" ht="15" customHeight="1">
      <c r="A3723" t="inlineStr">
        <is>
          <t>A 26243-2024</t>
        </is>
      </c>
      <c r="B3723" s="1" t="n">
        <v>45468</v>
      </c>
      <c r="C3723" s="1" t="n">
        <v>45962</v>
      </c>
      <c r="D3723" t="inlineStr">
        <is>
          <t>SKÅNE LÄN</t>
        </is>
      </c>
      <c r="E3723" t="inlineStr">
        <is>
          <t>KRISTIANSTAD</t>
        </is>
      </c>
      <c r="G3723" t="n">
        <v>7.8</v>
      </c>
      <c r="H3723" t="n">
        <v>0</v>
      </c>
      <c r="I3723" t="n">
        <v>0</v>
      </c>
      <c r="J3723" t="n">
        <v>0</v>
      </c>
      <c r="K3723" t="n">
        <v>0</v>
      </c>
      <c r="L3723" t="n">
        <v>0</v>
      </c>
      <c r="M3723" t="n">
        <v>0</v>
      </c>
      <c r="N3723" t="n">
        <v>0</v>
      </c>
      <c r="O3723" t="n">
        <v>0</v>
      </c>
      <c r="P3723" t="n">
        <v>0</v>
      </c>
      <c r="Q3723" t="n">
        <v>0</v>
      </c>
      <c r="R3723" s="2" t="inlineStr"/>
    </row>
    <row r="3724" ht="15" customHeight="1">
      <c r="A3724" t="inlineStr">
        <is>
          <t>A 50472-2023</t>
        </is>
      </c>
      <c r="B3724" s="1" t="n">
        <v>45216.91013888889</v>
      </c>
      <c r="C3724" s="1" t="n">
        <v>45962</v>
      </c>
      <c r="D3724" t="inlineStr">
        <is>
          <t>SKÅNE LÄN</t>
        </is>
      </c>
      <c r="E3724" t="inlineStr">
        <is>
          <t>ÖSTRA GÖINGE</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28332-2024</t>
        </is>
      </c>
      <c r="B3725" s="1" t="n">
        <v>45477</v>
      </c>
      <c r="C3725" s="1" t="n">
        <v>45962</v>
      </c>
      <c r="D3725" t="inlineStr">
        <is>
          <t>SKÅNE LÄN</t>
        </is>
      </c>
      <c r="E3725" t="inlineStr">
        <is>
          <t>HÖÖR</t>
        </is>
      </c>
      <c r="G3725" t="n">
        <v>7.5</v>
      </c>
      <c r="H3725" t="n">
        <v>0</v>
      </c>
      <c r="I3725" t="n">
        <v>0</v>
      </c>
      <c r="J3725" t="n">
        <v>0</v>
      </c>
      <c r="K3725" t="n">
        <v>0</v>
      </c>
      <c r="L3725" t="n">
        <v>0</v>
      </c>
      <c r="M3725" t="n">
        <v>0</v>
      </c>
      <c r="N3725" t="n">
        <v>0</v>
      </c>
      <c r="O3725" t="n">
        <v>0</v>
      </c>
      <c r="P3725" t="n">
        <v>0</v>
      </c>
      <c r="Q3725" t="n">
        <v>0</v>
      </c>
      <c r="R3725" s="2" t="inlineStr"/>
    </row>
    <row r="3726" ht="15" customHeight="1">
      <c r="A3726" t="inlineStr">
        <is>
          <t>A 49831-2022</t>
        </is>
      </c>
      <c r="B3726" s="1" t="n">
        <v>44862</v>
      </c>
      <c r="C3726" s="1" t="n">
        <v>45962</v>
      </c>
      <c r="D3726" t="inlineStr">
        <is>
          <t>SKÅNE LÄN</t>
        </is>
      </c>
      <c r="E3726" t="inlineStr">
        <is>
          <t>BROMÖLLA</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49885-2022</t>
        </is>
      </c>
      <c r="B3727" s="1" t="n">
        <v>44864</v>
      </c>
      <c r="C3727" s="1" t="n">
        <v>45962</v>
      </c>
      <c r="D3727" t="inlineStr">
        <is>
          <t>SKÅNE LÄN</t>
        </is>
      </c>
      <c r="E3727" t="inlineStr">
        <is>
          <t>ÄNGELHOLM</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7409-2025</t>
        </is>
      </c>
      <c r="B3728" s="1" t="n">
        <v>45705.36702546296</v>
      </c>
      <c r="C3728" s="1" t="n">
        <v>45962</v>
      </c>
      <c r="D3728" t="inlineStr">
        <is>
          <t>SKÅNE LÄN</t>
        </is>
      </c>
      <c r="E3728" t="inlineStr">
        <is>
          <t>ESLÖV</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30213-2022</t>
        </is>
      </c>
      <c r="B3729" s="1" t="n">
        <v>44757</v>
      </c>
      <c r="C3729" s="1" t="n">
        <v>45962</v>
      </c>
      <c r="D3729" t="inlineStr">
        <is>
          <t>SKÅNE LÄN</t>
        </is>
      </c>
      <c r="E3729" t="inlineStr">
        <is>
          <t>OSBY</t>
        </is>
      </c>
      <c r="G3729" t="n">
        <v>1.6</v>
      </c>
      <c r="H3729" t="n">
        <v>0</v>
      </c>
      <c r="I3729" t="n">
        <v>0</v>
      </c>
      <c r="J3729" t="n">
        <v>0</v>
      </c>
      <c r="K3729" t="n">
        <v>0</v>
      </c>
      <c r="L3729" t="n">
        <v>0</v>
      </c>
      <c r="M3729" t="n">
        <v>0</v>
      </c>
      <c r="N3729" t="n">
        <v>0</v>
      </c>
      <c r="O3729" t="n">
        <v>0</v>
      </c>
      <c r="P3729" t="n">
        <v>0</v>
      </c>
      <c r="Q3729" t="n">
        <v>0</v>
      </c>
      <c r="R3729" s="2" t="inlineStr"/>
    </row>
    <row r="3730" ht="15" customHeight="1">
      <c r="A3730" t="inlineStr">
        <is>
          <t>A 54458-2023</t>
        </is>
      </c>
      <c r="B3730" s="1" t="n">
        <v>45226</v>
      </c>
      <c r="C3730" s="1" t="n">
        <v>45962</v>
      </c>
      <c r="D3730" t="inlineStr">
        <is>
          <t>SKÅNE LÄN</t>
        </is>
      </c>
      <c r="E3730" t="inlineStr">
        <is>
          <t>KRISTIANSTAD</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23391-2023</t>
        </is>
      </c>
      <c r="B3731" s="1" t="n">
        <v>45076</v>
      </c>
      <c r="C3731" s="1" t="n">
        <v>45962</v>
      </c>
      <c r="D3731" t="inlineStr">
        <is>
          <t>SKÅNE LÄN</t>
        </is>
      </c>
      <c r="E3731" t="inlineStr">
        <is>
          <t>ÖSTRA GÖINGE</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31354-2025</t>
        </is>
      </c>
      <c r="B3732" s="1" t="n">
        <v>45833.43040509259</v>
      </c>
      <c r="C3732" s="1" t="n">
        <v>45962</v>
      </c>
      <c r="D3732" t="inlineStr">
        <is>
          <t>SKÅNE LÄN</t>
        </is>
      </c>
      <c r="E3732" t="inlineStr">
        <is>
          <t>OSBY</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23400-2023</t>
        </is>
      </c>
      <c r="B3733" s="1" t="n">
        <v>45076</v>
      </c>
      <c r="C3733" s="1" t="n">
        <v>45962</v>
      </c>
      <c r="D3733" t="inlineStr">
        <is>
          <t>SKÅNE LÄN</t>
        </is>
      </c>
      <c r="E3733" t="inlineStr">
        <is>
          <t>ÖSTRA GÖINGE</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23405-2023</t>
        </is>
      </c>
      <c r="B3734" s="1" t="n">
        <v>45076</v>
      </c>
      <c r="C3734" s="1" t="n">
        <v>45962</v>
      </c>
      <c r="D3734" t="inlineStr">
        <is>
          <t>SKÅNE LÄN</t>
        </is>
      </c>
      <c r="E3734" t="inlineStr">
        <is>
          <t>ÖSTRA GÖINGE</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31332-2025</t>
        </is>
      </c>
      <c r="B3735" s="1" t="n">
        <v>45833.42054398148</v>
      </c>
      <c r="C3735" s="1" t="n">
        <v>45962</v>
      </c>
      <c r="D3735" t="inlineStr">
        <is>
          <t>SKÅNE LÄN</t>
        </is>
      </c>
      <c r="E3735" t="inlineStr">
        <is>
          <t>OSBY</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4011-2024</t>
        </is>
      </c>
      <c r="B3736" s="1" t="n">
        <v>45323</v>
      </c>
      <c r="C3736" s="1" t="n">
        <v>45962</v>
      </c>
      <c r="D3736" t="inlineStr">
        <is>
          <t>SKÅNE LÄN</t>
        </is>
      </c>
      <c r="E3736" t="inlineStr">
        <is>
          <t>OSBY</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4018-2024</t>
        </is>
      </c>
      <c r="B3737" s="1" t="n">
        <v>45323</v>
      </c>
      <c r="C3737" s="1" t="n">
        <v>45962</v>
      </c>
      <c r="D3737" t="inlineStr">
        <is>
          <t>SKÅNE LÄN</t>
        </is>
      </c>
      <c r="E3737" t="inlineStr">
        <is>
          <t>TOMELILLA</t>
        </is>
      </c>
      <c r="F3737" t="inlineStr">
        <is>
          <t>Övriga Aktiebolag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4088-2024</t>
        </is>
      </c>
      <c r="B3738" s="1" t="n">
        <v>45323</v>
      </c>
      <c r="C3738" s="1" t="n">
        <v>45962</v>
      </c>
      <c r="D3738" t="inlineStr">
        <is>
          <t>SKÅNE LÄN</t>
        </is>
      </c>
      <c r="E3738" t="inlineStr">
        <is>
          <t>ÄNGELHOLM</t>
        </is>
      </c>
      <c r="G3738" t="n">
        <v>3.8</v>
      </c>
      <c r="H3738" t="n">
        <v>0</v>
      </c>
      <c r="I3738" t="n">
        <v>0</v>
      </c>
      <c r="J3738" t="n">
        <v>0</v>
      </c>
      <c r="K3738" t="n">
        <v>0</v>
      </c>
      <c r="L3738" t="n">
        <v>0</v>
      </c>
      <c r="M3738" t="n">
        <v>0</v>
      </c>
      <c r="N3738" t="n">
        <v>0</v>
      </c>
      <c r="O3738" t="n">
        <v>0</v>
      </c>
      <c r="P3738" t="n">
        <v>0</v>
      </c>
      <c r="Q3738" t="n">
        <v>0</v>
      </c>
      <c r="R3738" s="2" t="inlineStr"/>
    </row>
    <row r="3739" ht="15" customHeight="1">
      <c r="A3739" t="inlineStr">
        <is>
          <t>A 9686-2023</t>
        </is>
      </c>
      <c r="B3739" s="1" t="n">
        <v>44984</v>
      </c>
      <c r="C3739" s="1" t="n">
        <v>45962</v>
      </c>
      <c r="D3739" t="inlineStr">
        <is>
          <t>SKÅNE LÄN</t>
        </is>
      </c>
      <c r="E3739" t="inlineStr">
        <is>
          <t>ESLÖV</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38897-2025</t>
        </is>
      </c>
      <c r="B3740" s="1" t="n">
        <v>45887.59670138889</v>
      </c>
      <c r="C3740" s="1" t="n">
        <v>45962</v>
      </c>
      <c r="D3740" t="inlineStr">
        <is>
          <t>SKÅNE LÄN</t>
        </is>
      </c>
      <c r="E3740" t="inlineStr">
        <is>
          <t>ÖRKELLJUNGA</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6540-2021</t>
        </is>
      </c>
      <c r="B3741" s="1" t="n">
        <v>44235</v>
      </c>
      <c r="C3741" s="1" t="n">
        <v>45962</v>
      </c>
      <c r="D3741" t="inlineStr">
        <is>
          <t>SKÅNE LÄN</t>
        </is>
      </c>
      <c r="E3741" t="inlineStr">
        <is>
          <t>PERSTORP</t>
        </is>
      </c>
      <c r="F3741" t="inlineStr">
        <is>
          <t>Övriga Aktiebolag</t>
        </is>
      </c>
      <c r="G3741" t="n">
        <v>4.8</v>
      </c>
      <c r="H3741" t="n">
        <v>0</v>
      </c>
      <c r="I3741" t="n">
        <v>0</v>
      </c>
      <c r="J3741" t="n">
        <v>0</v>
      </c>
      <c r="K3741" t="n">
        <v>0</v>
      </c>
      <c r="L3741" t="n">
        <v>0</v>
      </c>
      <c r="M3741" t="n">
        <v>0</v>
      </c>
      <c r="N3741" t="n">
        <v>0</v>
      </c>
      <c r="O3741" t="n">
        <v>0</v>
      </c>
      <c r="P3741" t="n">
        <v>0</v>
      </c>
      <c r="Q3741" t="n">
        <v>0</v>
      </c>
      <c r="R3741" s="2" t="inlineStr"/>
    </row>
    <row r="3742" ht="15" customHeight="1">
      <c r="A3742" t="inlineStr">
        <is>
          <t>A 31160-2024</t>
        </is>
      </c>
      <c r="B3742" s="1" t="n">
        <v>45503</v>
      </c>
      <c r="C3742" s="1" t="n">
        <v>45962</v>
      </c>
      <c r="D3742" t="inlineStr">
        <is>
          <t>SKÅNE LÄN</t>
        </is>
      </c>
      <c r="E3742" t="inlineStr">
        <is>
          <t>HÄSSLEHOLM</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5054-2022</t>
        </is>
      </c>
      <c r="B3743" s="1" t="n">
        <v>44593.69065972222</v>
      </c>
      <c r="C3743" s="1" t="n">
        <v>45962</v>
      </c>
      <c r="D3743" t="inlineStr">
        <is>
          <t>SKÅNE LÄN</t>
        </is>
      </c>
      <c r="E3743" t="inlineStr">
        <is>
          <t>HÄSSLEHOLM</t>
        </is>
      </c>
      <c r="G3743" t="n">
        <v>0.6</v>
      </c>
      <c r="H3743" t="n">
        <v>0</v>
      </c>
      <c r="I3743" t="n">
        <v>0</v>
      </c>
      <c r="J3743" t="n">
        <v>0</v>
      </c>
      <c r="K3743" t="n">
        <v>0</v>
      </c>
      <c r="L3743" t="n">
        <v>0</v>
      </c>
      <c r="M3743" t="n">
        <v>0</v>
      </c>
      <c r="N3743" t="n">
        <v>0</v>
      </c>
      <c r="O3743" t="n">
        <v>0</v>
      </c>
      <c r="P3743" t="n">
        <v>0</v>
      </c>
      <c r="Q3743" t="n">
        <v>0</v>
      </c>
      <c r="R3743" s="2" t="inlineStr"/>
    </row>
    <row r="3744" ht="15" customHeight="1">
      <c r="A3744" t="inlineStr">
        <is>
          <t>A 5098-2022</t>
        </is>
      </c>
      <c r="B3744" s="1" t="n">
        <v>44593</v>
      </c>
      <c r="C3744" s="1" t="n">
        <v>45962</v>
      </c>
      <c r="D3744" t="inlineStr">
        <is>
          <t>SKÅNE LÄN</t>
        </is>
      </c>
      <c r="E3744" t="inlineStr">
        <is>
          <t>ÖSTRA GÖINGE</t>
        </is>
      </c>
      <c r="G3744" t="n">
        <v>5.8</v>
      </c>
      <c r="H3744" t="n">
        <v>0</v>
      </c>
      <c r="I3744" t="n">
        <v>0</v>
      </c>
      <c r="J3744" t="n">
        <v>0</v>
      </c>
      <c r="K3744" t="n">
        <v>0</v>
      </c>
      <c r="L3744" t="n">
        <v>0</v>
      </c>
      <c r="M3744" t="n">
        <v>0</v>
      </c>
      <c r="N3744" t="n">
        <v>0</v>
      </c>
      <c r="O3744" t="n">
        <v>0</v>
      </c>
      <c r="P3744" t="n">
        <v>0</v>
      </c>
      <c r="Q3744" t="n">
        <v>0</v>
      </c>
      <c r="R3744" s="2" t="inlineStr"/>
    </row>
    <row r="3745" ht="15" customHeight="1">
      <c r="A3745" t="inlineStr">
        <is>
          <t>A 5138-2022</t>
        </is>
      </c>
      <c r="B3745" s="1" t="n">
        <v>44594</v>
      </c>
      <c r="C3745" s="1" t="n">
        <v>45962</v>
      </c>
      <c r="D3745" t="inlineStr">
        <is>
          <t>SKÅNE LÄN</t>
        </is>
      </c>
      <c r="E3745" t="inlineStr">
        <is>
          <t>HÖÖR</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5151-2022</t>
        </is>
      </c>
      <c r="B3746" s="1" t="n">
        <v>44593</v>
      </c>
      <c r="C3746" s="1" t="n">
        <v>45962</v>
      </c>
      <c r="D3746" t="inlineStr">
        <is>
          <t>SKÅNE LÄN</t>
        </is>
      </c>
      <c r="E3746" t="inlineStr">
        <is>
          <t>KLIPPAN</t>
        </is>
      </c>
      <c r="G3746" t="n">
        <v>6.5</v>
      </c>
      <c r="H3746" t="n">
        <v>0</v>
      </c>
      <c r="I3746" t="n">
        <v>0</v>
      </c>
      <c r="J3746" t="n">
        <v>0</v>
      </c>
      <c r="K3746" t="n">
        <v>0</v>
      </c>
      <c r="L3746" t="n">
        <v>0</v>
      </c>
      <c r="M3746" t="n">
        <v>0</v>
      </c>
      <c r="N3746" t="n">
        <v>0</v>
      </c>
      <c r="O3746" t="n">
        <v>0</v>
      </c>
      <c r="P3746" t="n">
        <v>0</v>
      </c>
      <c r="Q3746" t="n">
        <v>0</v>
      </c>
      <c r="R3746" s="2" t="inlineStr"/>
    </row>
    <row r="3747" ht="15" customHeight="1">
      <c r="A3747" t="inlineStr">
        <is>
          <t>A 56089-2021</t>
        </is>
      </c>
      <c r="B3747" s="1" t="n">
        <v>44477</v>
      </c>
      <c r="C3747" s="1" t="n">
        <v>45962</v>
      </c>
      <c r="D3747" t="inlineStr">
        <is>
          <t>SKÅNE LÄN</t>
        </is>
      </c>
      <c r="E3747" t="inlineStr">
        <is>
          <t>KLIPPAN</t>
        </is>
      </c>
      <c r="G3747" t="n">
        <v>20.9</v>
      </c>
      <c r="H3747" t="n">
        <v>0</v>
      </c>
      <c r="I3747" t="n">
        <v>0</v>
      </c>
      <c r="J3747" t="n">
        <v>0</v>
      </c>
      <c r="K3747" t="n">
        <v>0</v>
      </c>
      <c r="L3747" t="n">
        <v>0</v>
      </c>
      <c r="M3747" t="n">
        <v>0</v>
      </c>
      <c r="N3747" t="n">
        <v>0</v>
      </c>
      <c r="O3747" t="n">
        <v>0</v>
      </c>
      <c r="P3747" t="n">
        <v>0</v>
      </c>
      <c r="Q3747" t="n">
        <v>0</v>
      </c>
      <c r="R3747" s="2" t="inlineStr"/>
    </row>
    <row r="3748" ht="15" customHeight="1">
      <c r="A3748" t="inlineStr">
        <is>
          <t>A 44675-2024</t>
        </is>
      </c>
      <c r="B3748" s="1" t="n">
        <v>45574.53934027778</v>
      </c>
      <c r="C3748" s="1" t="n">
        <v>45962</v>
      </c>
      <c r="D3748" t="inlineStr">
        <is>
          <t>SKÅNE LÄN</t>
        </is>
      </c>
      <c r="E3748" t="inlineStr">
        <is>
          <t>TOMELILLA</t>
        </is>
      </c>
      <c r="F3748" t="inlineStr">
        <is>
          <t>Sveaskog</t>
        </is>
      </c>
      <c r="G3748" t="n">
        <v>11.2</v>
      </c>
      <c r="H3748" t="n">
        <v>0</v>
      </c>
      <c r="I3748" t="n">
        <v>0</v>
      </c>
      <c r="J3748" t="n">
        <v>0</v>
      </c>
      <c r="K3748" t="n">
        <v>0</v>
      </c>
      <c r="L3748" t="n">
        <v>0</v>
      </c>
      <c r="M3748" t="n">
        <v>0</v>
      </c>
      <c r="N3748" t="n">
        <v>0</v>
      </c>
      <c r="O3748" t="n">
        <v>0</v>
      </c>
      <c r="P3748" t="n">
        <v>0</v>
      </c>
      <c r="Q3748" t="n">
        <v>0</v>
      </c>
      <c r="R3748" s="2" t="inlineStr"/>
    </row>
    <row r="3749" ht="15" customHeight="1">
      <c r="A3749" t="inlineStr">
        <is>
          <t>A 30211-2023</t>
        </is>
      </c>
      <c r="B3749" s="1" t="n">
        <v>45110.63390046296</v>
      </c>
      <c r="C3749" s="1" t="n">
        <v>45962</v>
      </c>
      <c r="D3749" t="inlineStr">
        <is>
          <t>SKÅNE LÄN</t>
        </is>
      </c>
      <c r="E3749" t="inlineStr">
        <is>
          <t>OSBY</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31575-2025</t>
        </is>
      </c>
      <c r="B3750" s="1" t="n">
        <v>45833.67045138889</v>
      </c>
      <c r="C3750" s="1" t="n">
        <v>45962</v>
      </c>
      <c r="D3750" t="inlineStr">
        <is>
          <t>SKÅNE LÄN</t>
        </is>
      </c>
      <c r="E3750" t="inlineStr">
        <is>
          <t>KRISTIANSTAD</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31105-2025</t>
        </is>
      </c>
      <c r="B3751" s="1" t="n">
        <v>45832</v>
      </c>
      <c r="C3751" s="1" t="n">
        <v>45962</v>
      </c>
      <c r="D3751" t="inlineStr">
        <is>
          <t>SKÅNE LÄN</t>
        </is>
      </c>
      <c r="E3751" t="inlineStr">
        <is>
          <t>KRISTIANSTAD</t>
        </is>
      </c>
      <c r="F3751" t="inlineStr">
        <is>
          <t>Övriga Aktiebolag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60780-2022</t>
        </is>
      </c>
      <c r="B3752" s="1" t="n">
        <v>44914.38637731481</v>
      </c>
      <c r="C3752" s="1" t="n">
        <v>45962</v>
      </c>
      <c r="D3752" t="inlineStr">
        <is>
          <t>SKÅNE LÄN</t>
        </is>
      </c>
      <c r="E3752" t="inlineStr">
        <is>
          <t>ÖSTRA GÖINGE</t>
        </is>
      </c>
      <c r="G3752" t="n">
        <v>1.7</v>
      </c>
      <c r="H3752" t="n">
        <v>0</v>
      </c>
      <c r="I3752" t="n">
        <v>0</v>
      </c>
      <c r="J3752" t="n">
        <v>0</v>
      </c>
      <c r="K3752" t="n">
        <v>0</v>
      </c>
      <c r="L3752" t="n">
        <v>0</v>
      </c>
      <c r="M3752" t="n">
        <v>0</v>
      </c>
      <c r="N3752" t="n">
        <v>0</v>
      </c>
      <c r="O3752" t="n">
        <v>0</v>
      </c>
      <c r="P3752" t="n">
        <v>0</v>
      </c>
      <c r="Q3752" t="n">
        <v>0</v>
      </c>
      <c r="R3752" s="2" t="inlineStr"/>
    </row>
    <row r="3753" ht="15" customHeight="1">
      <c r="A3753" t="inlineStr">
        <is>
          <t>A 59359-2024</t>
        </is>
      </c>
      <c r="B3753" s="1" t="n">
        <v>45638.3243287037</v>
      </c>
      <c r="C3753" s="1" t="n">
        <v>45962</v>
      </c>
      <c r="D3753" t="inlineStr">
        <is>
          <t>SKÅNE LÄN</t>
        </is>
      </c>
      <c r="E3753" t="inlineStr">
        <is>
          <t>ÖSTRA GÖINGE</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31391-2023</t>
        </is>
      </c>
      <c r="B3754" s="1" t="n">
        <v>45114.56143518518</v>
      </c>
      <c r="C3754" s="1" t="n">
        <v>45962</v>
      </c>
      <c r="D3754" t="inlineStr">
        <is>
          <t>SKÅNE LÄN</t>
        </is>
      </c>
      <c r="E3754" t="inlineStr">
        <is>
          <t>HÄSSLEHOLM</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31403-2023</t>
        </is>
      </c>
      <c r="B3755" s="1" t="n">
        <v>45114</v>
      </c>
      <c r="C3755" s="1" t="n">
        <v>45962</v>
      </c>
      <c r="D3755" t="inlineStr">
        <is>
          <t>SKÅNE LÄN</t>
        </is>
      </c>
      <c r="E3755" t="inlineStr">
        <is>
          <t>SJÖBO</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23811-2023</t>
        </is>
      </c>
      <c r="B3756" s="1" t="n">
        <v>45078.38459490741</v>
      </c>
      <c r="C3756" s="1" t="n">
        <v>45962</v>
      </c>
      <c r="D3756" t="inlineStr">
        <is>
          <t>SKÅNE LÄN</t>
        </is>
      </c>
      <c r="E3756" t="inlineStr">
        <is>
          <t>OSBY</t>
        </is>
      </c>
      <c r="G3756" t="n">
        <v>1.7</v>
      </c>
      <c r="H3756" t="n">
        <v>0</v>
      </c>
      <c r="I3756" t="n">
        <v>0</v>
      </c>
      <c r="J3756" t="n">
        <v>0</v>
      </c>
      <c r="K3756" t="n">
        <v>0</v>
      </c>
      <c r="L3756" t="n">
        <v>0</v>
      </c>
      <c r="M3756" t="n">
        <v>0</v>
      </c>
      <c r="N3756" t="n">
        <v>0</v>
      </c>
      <c r="O3756" t="n">
        <v>0</v>
      </c>
      <c r="P3756" t="n">
        <v>0</v>
      </c>
      <c r="Q3756" t="n">
        <v>0</v>
      </c>
      <c r="R3756" s="2" t="inlineStr"/>
    </row>
    <row r="3757" ht="15" customHeight="1">
      <c r="A3757" t="inlineStr">
        <is>
          <t>A 42319-2024</t>
        </is>
      </c>
      <c r="B3757" s="1" t="n">
        <v>45562.64549768518</v>
      </c>
      <c r="C3757" s="1" t="n">
        <v>45962</v>
      </c>
      <c r="D3757" t="inlineStr">
        <is>
          <t>SKÅNE LÄN</t>
        </is>
      </c>
      <c r="E3757" t="inlineStr">
        <is>
          <t>ÖSTRA GÖINGE</t>
        </is>
      </c>
      <c r="F3757" t="inlineStr">
        <is>
          <t>Sveaskog</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31309-2025</t>
        </is>
      </c>
      <c r="B3758" s="1" t="n">
        <v>45833.38796296297</v>
      </c>
      <c r="C3758" s="1" t="n">
        <v>45962</v>
      </c>
      <c r="D3758" t="inlineStr">
        <is>
          <t>SKÅNE LÄN</t>
        </is>
      </c>
      <c r="E3758" t="inlineStr">
        <is>
          <t>OSBY</t>
        </is>
      </c>
      <c r="G3758" t="n">
        <v>1.8</v>
      </c>
      <c r="H3758" t="n">
        <v>0</v>
      </c>
      <c r="I3758" t="n">
        <v>0</v>
      </c>
      <c r="J3758" t="n">
        <v>0</v>
      </c>
      <c r="K3758" t="n">
        <v>0</v>
      </c>
      <c r="L3758" t="n">
        <v>0</v>
      </c>
      <c r="M3758" t="n">
        <v>0</v>
      </c>
      <c r="N3758" t="n">
        <v>0</v>
      </c>
      <c r="O3758" t="n">
        <v>0</v>
      </c>
      <c r="P3758" t="n">
        <v>0</v>
      </c>
      <c r="Q3758" t="n">
        <v>0</v>
      </c>
      <c r="R3758" s="2" t="inlineStr"/>
    </row>
    <row r="3759" ht="15" customHeight="1">
      <c r="A3759" t="inlineStr">
        <is>
          <t>A 3875-2023</t>
        </is>
      </c>
      <c r="B3759" s="1" t="n">
        <v>44951.85590277778</v>
      </c>
      <c r="C3759" s="1" t="n">
        <v>45962</v>
      </c>
      <c r="D3759" t="inlineStr">
        <is>
          <t>SKÅNE LÄN</t>
        </is>
      </c>
      <c r="E3759" t="inlineStr">
        <is>
          <t>OSBY</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30872-2025</t>
        </is>
      </c>
      <c r="B3760" s="1" t="n">
        <v>45832.34307870371</v>
      </c>
      <c r="C3760" s="1" t="n">
        <v>45962</v>
      </c>
      <c r="D3760" t="inlineStr">
        <is>
          <t>SKÅNE LÄN</t>
        </is>
      </c>
      <c r="E3760" t="inlineStr">
        <is>
          <t>OSBY</t>
        </is>
      </c>
      <c r="G3760" t="n">
        <v>5.4</v>
      </c>
      <c r="H3760" t="n">
        <v>0</v>
      </c>
      <c r="I3760" t="n">
        <v>0</v>
      </c>
      <c r="J3760" t="n">
        <v>0</v>
      </c>
      <c r="K3760" t="n">
        <v>0</v>
      </c>
      <c r="L3760" t="n">
        <v>0</v>
      </c>
      <c r="M3760" t="n">
        <v>0</v>
      </c>
      <c r="N3760" t="n">
        <v>0</v>
      </c>
      <c r="O3760" t="n">
        <v>0</v>
      </c>
      <c r="P3760" t="n">
        <v>0</v>
      </c>
      <c r="Q3760" t="n">
        <v>0</v>
      </c>
      <c r="R3760" s="2" t="inlineStr"/>
    </row>
    <row r="3761" ht="15" customHeight="1">
      <c r="A3761" t="inlineStr">
        <is>
          <t>A 19874-2024</t>
        </is>
      </c>
      <c r="B3761" s="1" t="n">
        <v>45433</v>
      </c>
      <c r="C3761" s="1" t="n">
        <v>45962</v>
      </c>
      <c r="D3761" t="inlineStr">
        <is>
          <t>SKÅNE LÄN</t>
        </is>
      </c>
      <c r="E3761" t="inlineStr">
        <is>
          <t>SIMRISHAMN</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19883-2024</t>
        </is>
      </c>
      <c r="B3762" s="1" t="n">
        <v>45433</v>
      </c>
      <c r="C3762" s="1" t="n">
        <v>45962</v>
      </c>
      <c r="D3762" t="inlineStr">
        <is>
          <t>SKÅNE LÄN</t>
        </is>
      </c>
      <c r="E3762" t="inlineStr">
        <is>
          <t>SJÖBO</t>
        </is>
      </c>
      <c r="G3762" t="n">
        <v>4.4</v>
      </c>
      <c r="H3762" t="n">
        <v>0</v>
      </c>
      <c r="I3762" t="n">
        <v>0</v>
      </c>
      <c r="J3762" t="n">
        <v>0</v>
      </c>
      <c r="K3762" t="n">
        <v>0</v>
      </c>
      <c r="L3762" t="n">
        <v>0</v>
      </c>
      <c r="M3762" t="n">
        <v>0</v>
      </c>
      <c r="N3762" t="n">
        <v>0</v>
      </c>
      <c r="O3762" t="n">
        <v>0</v>
      </c>
      <c r="P3762" t="n">
        <v>0</v>
      </c>
      <c r="Q3762" t="n">
        <v>0</v>
      </c>
      <c r="R3762" s="2" t="inlineStr"/>
    </row>
    <row r="3763" ht="15" customHeight="1">
      <c r="A3763" t="inlineStr">
        <is>
          <t>A 19888-2024</t>
        </is>
      </c>
      <c r="B3763" s="1" t="n">
        <v>45433</v>
      </c>
      <c r="C3763" s="1" t="n">
        <v>45962</v>
      </c>
      <c r="D3763" t="inlineStr">
        <is>
          <t>SKÅNE LÄN</t>
        </is>
      </c>
      <c r="E3763" t="inlineStr">
        <is>
          <t>SJÖBO</t>
        </is>
      </c>
      <c r="G3763" t="n">
        <v>2.5</v>
      </c>
      <c r="H3763" t="n">
        <v>0</v>
      </c>
      <c r="I3763" t="n">
        <v>0</v>
      </c>
      <c r="J3763" t="n">
        <v>0</v>
      </c>
      <c r="K3763" t="n">
        <v>0</v>
      </c>
      <c r="L3763" t="n">
        <v>0</v>
      </c>
      <c r="M3763" t="n">
        <v>0</v>
      </c>
      <c r="N3763" t="n">
        <v>0</v>
      </c>
      <c r="O3763" t="n">
        <v>0</v>
      </c>
      <c r="P3763" t="n">
        <v>0</v>
      </c>
      <c r="Q3763" t="n">
        <v>0</v>
      </c>
      <c r="R3763" s="2" t="inlineStr"/>
    </row>
    <row r="3764" ht="15" customHeight="1">
      <c r="A3764" t="inlineStr">
        <is>
          <t>A 69462-2020</t>
        </is>
      </c>
      <c r="B3764" s="1" t="n">
        <v>44193</v>
      </c>
      <c r="C3764" s="1" t="n">
        <v>45962</v>
      </c>
      <c r="D3764" t="inlineStr">
        <is>
          <t>SKÅNE LÄN</t>
        </is>
      </c>
      <c r="E3764" t="inlineStr">
        <is>
          <t>ÖSTRA GÖINGE</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23723-2023</t>
        </is>
      </c>
      <c r="B3765" s="1" t="n">
        <v>45077</v>
      </c>
      <c r="C3765" s="1" t="n">
        <v>45962</v>
      </c>
      <c r="D3765" t="inlineStr">
        <is>
          <t>SKÅNE LÄN</t>
        </is>
      </c>
      <c r="E3765" t="inlineStr">
        <is>
          <t>HÄSSLEHOLM</t>
        </is>
      </c>
      <c r="G3765" t="n">
        <v>3.9</v>
      </c>
      <c r="H3765" t="n">
        <v>0</v>
      </c>
      <c r="I3765" t="n">
        <v>0</v>
      </c>
      <c r="J3765" t="n">
        <v>0</v>
      </c>
      <c r="K3765" t="n">
        <v>0</v>
      </c>
      <c r="L3765" t="n">
        <v>0</v>
      </c>
      <c r="M3765" t="n">
        <v>0</v>
      </c>
      <c r="N3765" t="n">
        <v>0</v>
      </c>
      <c r="O3765" t="n">
        <v>0</v>
      </c>
      <c r="P3765" t="n">
        <v>0</v>
      </c>
      <c r="Q3765" t="n">
        <v>0</v>
      </c>
      <c r="R3765" s="2" t="inlineStr"/>
    </row>
    <row r="3766" ht="15" customHeight="1">
      <c r="A3766" t="inlineStr">
        <is>
          <t>A 23741-2023</t>
        </is>
      </c>
      <c r="B3766" s="1" t="n">
        <v>45077.77087962963</v>
      </c>
      <c r="C3766" s="1" t="n">
        <v>45962</v>
      </c>
      <c r="D3766" t="inlineStr">
        <is>
          <t>SKÅNE LÄN</t>
        </is>
      </c>
      <c r="E3766" t="inlineStr">
        <is>
          <t>KLIPPAN</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35150-2023</t>
        </is>
      </c>
      <c r="B3767" s="1" t="n">
        <v>45145</v>
      </c>
      <c r="C3767" s="1" t="n">
        <v>45962</v>
      </c>
      <c r="D3767" t="inlineStr">
        <is>
          <t>SKÅNE LÄN</t>
        </is>
      </c>
      <c r="E3767" t="inlineStr">
        <is>
          <t>HÄSSLEHOLM</t>
        </is>
      </c>
      <c r="G3767" t="n">
        <v>4.9</v>
      </c>
      <c r="H3767" t="n">
        <v>0</v>
      </c>
      <c r="I3767" t="n">
        <v>0</v>
      </c>
      <c r="J3767" t="n">
        <v>0</v>
      </c>
      <c r="K3767" t="n">
        <v>0</v>
      </c>
      <c r="L3767" t="n">
        <v>0</v>
      </c>
      <c r="M3767" t="n">
        <v>0</v>
      </c>
      <c r="N3767" t="n">
        <v>0</v>
      </c>
      <c r="O3767" t="n">
        <v>0</v>
      </c>
      <c r="P3767" t="n">
        <v>0</v>
      </c>
      <c r="Q3767" t="n">
        <v>0</v>
      </c>
      <c r="R3767" s="2" t="inlineStr"/>
    </row>
    <row r="3768" ht="15" customHeight="1">
      <c r="A3768" t="inlineStr">
        <is>
          <t>A 1424-2025</t>
        </is>
      </c>
      <c r="B3768" s="1" t="n">
        <v>45668.65929398148</v>
      </c>
      <c r="C3768" s="1" t="n">
        <v>45962</v>
      </c>
      <c r="D3768" t="inlineStr">
        <is>
          <t>SKÅNE LÄN</t>
        </is>
      </c>
      <c r="E3768" t="inlineStr">
        <is>
          <t>KRISTIANSTAD</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1427-2025</t>
        </is>
      </c>
      <c r="B3769" s="1" t="n">
        <v>45668.70152777778</v>
      </c>
      <c r="C3769" s="1" t="n">
        <v>45962</v>
      </c>
      <c r="D3769" t="inlineStr">
        <is>
          <t>SKÅNE LÄN</t>
        </is>
      </c>
      <c r="E3769" t="inlineStr">
        <is>
          <t>KRISTIANSTAD</t>
        </is>
      </c>
      <c r="G3769" t="n">
        <v>2.2</v>
      </c>
      <c r="H3769" t="n">
        <v>0</v>
      </c>
      <c r="I3769" t="n">
        <v>0</v>
      </c>
      <c r="J3769" t="n">
        <v>0</v>
      </c>
      <c r="K3769" t="n">
        <v>0</v>
      </c>
      <c r="L3769" t="n">
        <v>0</v>
      </c>
      <c r="M3769" t="n">
        <v>0</v>
      </c>
      <c r="N3769" t="n">
        <v>0</v>
      </c>
      <c r="O3769" t="n">
        <v>0</v>
      </c>
      <c r="P3769" t="n">
        <v>0</v>
      </c>
      <c r="Q3769" t="n">
        <v>0</v>
      </c>
      <c r="R3769" s="2" t="inlineStr"/>
    </row>
    <row r="3770" ht="15" customHeight="1">
      <c r="A3770" t="inlineStr">
        <is>
          <t>A 10711-2024</t>
        </is>
      </c>
      <c r="B3770" s="1" t="n">
        <v>45369.44048611111</v>
      </c>
      <c r="C3770" s="1" t="n">
        <v>45962</v>
      </c>
      <c r="D3770" t="inlineStr">
        <is>
          <t>SKÅNE LÄN</t>
        </is>
      </c>
      <c r="E3770" t="inlineStr">
        <is>
          <t>OSBY</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61926-2023</t>
        </is>
      </c>
      <c r="B3771" s="1" t="n">
        <v>45266</v>
      </c>
      <c r="C3771" s="1" t="n">
        <v>45962</v>
      </c>
      <c r="D3771" t="inlineStr">
        <is>
          <t>SKÅNE LÄN</t>
        </is>
      </c>
      <c r="E3771" t="inlineStr">
        <is>
          <t>ÖSTRA GÖINGE</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18524-2023</t>
        </is>
      </c>
      <c r="B3772" s="1" t="n">
        <v>45042.68837962963</v>
      </c>
      <c r="C3772" s="1" t="n">
        <v>45962</v>
      </c>
      <c r="D3772" t="inlineStr">
        <is>
          <t>SKÅNE LÄN</t>
        </is>
      </c>
      <c r="E3772" t="inlineStr">
        <is>
          <t>KRISTIANSTAD</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576-2024</t>
        </is>
      </c>
      <c r="B3773" s="1" t="n">
        <v>45299</v>
      </c>
      <c r="C3773" s="1" t="n">
        <v>45962</v>
      </c>
      <c r="D3773" t="inlineStr">
        <is>
          <t>SKÅNE LÄN</t>
        </is>
      </c>
      <c r="E3773" t="inlineStr">
        <is>
          <t>BROMÖLLA</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55416-2022</t>
        </is>
      </c>
      <c r="B3774" s="1" t="n">
        <v>44882</v>
      </c>
      <c r="C3774" s="1" t="n">
        <v>45962</v>
      </c>
      <c r="D3774" t="inlineStr">
        <is>
          <t>SKÅNE LÄN</t>
        </is>
      </c>
      <c r="E3774" t="inlineStr">
        <is>
          <t>PERSTORP</t>
        </is>
      </c>
      <c r="F3774" t="inlineStr">
        <is>
          <t>Övriga Aktiebolag</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31943-2025</t>
        </is>
      </c>
      <c r="B3775" s="1" t="n">
        <v>45835.31512731482</v>
      </c>
      <c r="C3775" s="1" t="n">
        <v>45962</v>
      </c>
      <c r="D3775" t="inlineStr">
        <is>
          <t>SKÅNE LÄN</t>
        </is>
      </c>
      <c r="E3775" t="inlineStr">
        <is>
          <t>ÖSTRA GÖINGE</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22063-2025</t>
        </is>
      </c>
      <c r="B3776" s="1" t="n">
        <v>45785.37700231482</v>
      </c>
      <c r="C3776" s="1" t="n">
        <v>45962</v>
      </c>
      <c r="D3776" t="inlineStr">
        <is>
          <t>SKÅNE LÄN</t>
        </is>
      </c>
      <c r="E3776" t="inlineStr">
        <is>
          <t>SVALÖV</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6760-2024</t>
        </is>
      </c>
      <c r="B3777" s="1" t="n">
        <v>45342.47940972223</v>
      </c>
      <c r="C3777" s="1" t="n">
        <v>45962</v>
      </c>
      <c r="D3777" t="inlineStr">
        <is>
          <t>SKÅNE LÄN</t>
        </is>
      </c>
      <c r="E3777" t="inlineStr">
        <is>
          <t>HÖÖR</t>
        </is>
      </c>
      <c r="G3777" t="n">
        <v>4.1</v>
      </c>
      <c r="H3777" t="n">
        <v>0</v>
      </c>
      <c r="I3777" t="n">
        <v>0</v>
      </c>
      <c r="J3777" t="n">
        <v>0</v>
      </c>
      <c r="K3777" t="n">
        <v>0</v>
      </c>
      <c r="L3777" t="n">
        <v>0</v>
      </c>
      <c r="M3777" t="n">
        <v>0</v>
      </c>
      <c r="N3777" t="n">
        <v>0</v>
      </c>
      <c r="O3777" t="n">
        <v>0</v>
      </c>
      <c r="P3777" t="n">
        <v>0</v>
      </c>
      <c r="Q3777" t="n">
        <v>0</v>
      </c>
      <c r="R3777" s="2" t="inlineStr"/>
    </row>
    <row r="3778" ht="15" customHeight="1">
      <c r="A3778" t="inlineStr">
        <is>
          <t>A 48693-2022</t>
        </is>
      </c>
      <c r="B3778" s="1" t="n">
        <v>44855</v>
      </c>
      <c r="C3778" s="1" t="n">
        <v>45962</v>
      </c>
      <c r="D3778" t="inlineStr">
        <is>
          <t>SKÅNE LÄN</t>
        </is>
      </c>
      <c r="E3778" t="inlineStr">
        <is>
          <t>KRISTIANSTAD</t>
        </is>
      </c>
      <c r="G3778" t="n">
        <v>6.4</v>
      </c>
      <c r="H3778" t="n">
        <v>0</v>
      </c>
      <c r="I3778" t="n">
        <v>0</v>
      </c>
      <c r="J3778" t="n">
        <v>0</v>
      </c>
      <c r="K3778" t="n">
        <v>0</v>
      </c>
      <c r="L3778" t="n">
        <v>0</v>
      </c>
      <c r="M3778" t="n">
        <v>0</v>
      </c>
      <c r="N3778" t="n">
        <v>0</v>
      </c>
      <c r="O3778" t="n">
        <v>0</v>
      </c>
      <c r="P3778" t="n">
        <v>0</v>
      </c>
      <c r="Q3778" t="n">
        <v>0</v>
      </c>
      <c r="R3778" s="2" t="inlineStr"/>
    </row>
    <row r="3779" ht="15" customHeight="1">
      <c r="A3779" t="inlineStr">
        <is>
          <t>A 38080-2024</t>
        </is>
      </c>
      <c r="B3779" s="1" t="n">
        <v>45545.31652777778</v>
      </c>
      <c r="C3779" s="1" t="n">
        <v>45962</v>
      </c>
      <c r="D3779" t="inlineStr">
        <is>
          <t>SKÅNE LÄN</t>
        </is>
      </c>
      <c r="E3779" t="inlineStr">
        <is>
          <t>HÖRBY</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18041-2023</t>
        </is>
      </c>
      <c r="B3780" s="1" t="n">
        <v>45040</v>
      </c>
      <c r="C3780" s="1" t="n">
        <v>45962</v>
      </c>
      <c r="D3780" t="inlineStr">
        <is>
          <t>SKÅNE LÄN</t>
        </is>
      </c>
      <c r="E3780" t="inlineStr">
        <is>
          <t>HÄSSLEHOLM</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35986-2022</t>
        </is>
      </c>
      <c r="B3781" s="1" t="n">
        <v>44802</v>
      </c>
      <c r="C3781" s="1" t="n">
        <v>45962</v>
      </c>
      <c r="D3781" t="inlineStr">
        <is>
          <t>SKÅNE LÄN</t>
        </is>
      </c>
      <c r="E3781" t="inlineStr">
        <is>
          <t>OSBY</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1943-2025</t>
        </is>
      </c>
      <c r="B3782" s="1" t="n">
        <v>45672</v>
      </c>
      <c r="C3782" s="1" t="n">
        <v>45962</v>
      </c>
      <c r="D3782" t="inlineStr">
        <is>
          <t>SKÅNE LÄN</t>
        </is>
      </c>
      <c r="E3782" t="inlineStr">
        <is>
          <t>KRISTIANSTAD</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12038-2025</t>
        </is>
      </c>
      <c r="B3783" s="1" t="n">
        <v>45728.65583333333</v>
      </c>
      <c r="C3783" s="1" t="n">
        <v>45962</v>
      </c>
      <c r="D3783" t="inlineStr">
        <is>
          <t>SKÅNE LÄN</t>
        </is>
      </c>
      <c r="E3783" t="inlineStr">
        <is>
          <t>ÖRKELLJUNGA</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2588-2025</t>
        </is>
      </c>
      <c r="B3784" s="1" t="n">
        <v>45674.69032407407</v>
      </c>
      <c r="C3784" s="1" t="n">
        <v>45962</v>
      </c>
      <c r="D3784" t="inlineStr">
        <is>
          <t>SKÅNE LÄN</t>
        </is>
      </c>
      <c r="E3784" t="inlineStr">
        <is>
          <t>ÖSTRA GÖINGE</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19066-2021</t>
        </is>
      </c>
      <c r="B3785" s="1" t="n">
        <v>44308</v>
      </c>
      <c r="C3785" s="1" t="n">
        <v>45962</v>
      </c>
      <c r="D3785" t="inlineStr">
        <is>
          <t>SKÅNE LÄN</t>
        </is>
      </c>
      <c r="E3785" t="inlineStr">
        <is>
          <t>BROMÖLLA</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46279-2024</t>
        </is>
      </c>
      <c r="B3786" s="1" t="n">
        <v>45581.63439814815</v>
      </c>
      <c r="C3786" s="1" t="n">
        <v>45962</v>
      </c>
      <c r="D3786" t="inlineStr">
        <is>
          <t>SKÅNE LÄN</t>
        </is>
      </c>
      <c r="E3786" t="inlineStr">
        <is>
          <t>ÖSTRA GÖINGE</t>
        </is>
      </c>
      <c r="F3786" t="inlineStr">
        <is>
          <t>Sveaskog</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6397-2021</t>
        </is>
      </c>
      <c r="B3787" s="1" t="n">
        <v>44235</v>
      </c>
      <c r="C3787" s="1" t="n">
        <v>45962</v>
      </c>
      <c r="D3787" t="inlineStr">
        <is>
          <t>SKÅNE LÄN</t>
        </is>
      </c>
      <c r="E3787" t="inlineStr">
        <is>
          <t>OSBY</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49250-2022</t>
        </is>
      </c>
      <c r="B3788" s="1" t="n">
        <v>44858</v>
      </c>
      <c r="C3788" s="1" t="n">
        <v>45962</v>
      </c>
      <c r="D3788" t="inlineStr">
        <is>
          <t>SKÅNE LÄN</t>
        </is>
      </c>
      <c r="E3788" t="inlineStr">
        <is>
          <t>HÄSSLEHOLM</t>
        </is>
      </c>
      <c r="F3788" t="inlineStr">
        <is>
          <t>Kyrkan</t>
        </is>
      </c>
      <c r="G3788" t="n">
        <v>1.5</v>
      </c>
      <c r="H3788" t="n">
        <v>0</v>
      </c>
      <c r="I3788" t="n">
        <v>0</v>
      </c>
      <c r="J3788" t="n">
        <v>0</v>
      </c>
      <c r="K3788" t="n">
        <v>0</v>
      </c>
      <c r="L3788" t="n">
        <v>0</v>
      </c>
      <c r="M3788" t="n">
        <v>0</v>
      </c>
      <c r="N3788" t="n">
        <v>0</v>
      </c>
      <c r="O3788" t="n">
        <v>0</v>
      </c>
      <c r="P3788" t="n">
        <v>0</v>
      </c>
      <c r="Q3788" t="n">
        <v>0</v>
      </c>
      <c r="R3788" s="2" t="inlineStr"/>
    </row>
    <row r="3789" ht="15" customHeight="1">
      <c r="A3789" t="inlineStr">
        <is>
          <t>A 31933-2024</t>
        </is>
      </c>
      <c r="B3789" s="1" t="n">
        <v>45510.41123842593</v>
      </c>
      <c r="C3789" s="1" t="n">
        <v>45962</v>
      </c>
      <c r="D3789" t="inlineStr">
        <is>
          <t>SKÅNE LÄN</t>
        </is>
      </c>
      <c r="E3789" t="inlineStr">
        <is>
          <t>HÄSSLEHOLM</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6451-2024</t>
        </is>
      </c>
      <c r="B3790" s="1" t="n">
        <v>45338</v>
      </c>
      <c r="C3790" s="1" t="n">
        <v>45962</v>
      </c>
      <c r="D3790" t="inlineStr">
        <is>
          <t>SKÅNE LÄN</t>
        </is>
      </c>
      <c r="E3790" t="inlineStr">
        <is>
          <t>KRISTIANSTAD</t>
        </is>
      </c>
      <c r="G3790" t="n">
        <v>15.8</v>
      </c>
      <c r="H3790" t="n">
        <v>0</v>
      </c>
      <c r="I3790" t="n">
        <v>0</v>
      </c>
      <c r="J3790" t="n">
        <v>0</v>
      </c>
      <c r="K3790" t="n">
        <v>0</v>
      </c>
      <c r="L3790" t="n">
        <v>0</v>
      </c>
      <c r="M3790" t="n">
        <v>0</v>
      </c>
      <c r="N3790" t="n">
        <v>0</v>
      </c>
      <c r="O3790" t="n">
        <v>0</v>
      </c>
      <c r="P3790" t="n">
        <v>0</v>
      </c>
      <c r="Q3790" t="n">
        <v>0</v>
      </c>
      <c r="R3790" s="2" t="inlineStr"/>
    </row>
    <row r="3791" ht="15" customHeight="1">
      <c r="A3791" t="inlineStr">
        <is>
          <t>A 32020-2025</t>
        </is>
      </c>
      <c r="B3791" s="1" t="n">
        <v>45835.4065625</v>
      </c>
      <c r="C3791" s="1" t="n">
        <v>45962</v>
      </c>
      <c r="D3791" t="inlineStr">
        <is>
          <t>SKÅNE LÄN</t>
        </is>
      </c>
      <c r="E3791" t="inlineStr">
        <is>
          <t>ÄNGELHOLM</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31581-2023</t>
        </is>
      </c>
      <c r="B3792" s="1" t="n">
        <v>45117.45165509259</v>
      </c>
      <c r="C3792" s="1" t="n">
        <v>45962</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19693-2025</t>
        </is>
      </c>
      <c r="B3793" s="1" t="n">
        <v>45771.25997685185</v>
      </c>
      <c r="C3793" s="1" t="n">
        <v>45962</v>
      </c>
      <c r="D3793" t="inlineStr">
        <is>
          <t>SKÅNE LÄN</t>
        </is>
      </c>
      <c r="E3793" t="inlineStr">
        <is>
          <t>SIMRISHAMN</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31629-2023</t>
        </is>
      </c>
      <c r="B3794" s="1" t="n">
        <v>45117</v>
      </c>
      <c r="C3794" s="1" t="n">
        <v>45962</v>
      </c>
      <c r="D3794" t="inlineStr">
        <is>
          <t>SKÅNE LÄN</t>
        </is>
      </c>
      <c r="E3794" t="inlineStr">
        <is>
          <t>ÖSTRA GÖINGE</t>
        </is>
      </c>
      <c r="F3794" t="inlineStr">
        <is>
          <t>Sveaskog</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32132-2025</t>
        </is>
      </c>
      <c r="B3795" s="1" t="n">
        <v>45835.50878472222</v>
      </c>
      <c r="C3795" s="1" t="n">
        <v>45962</v>
      </c>
      <c r="D3795" t="inlineStr">
        <is>
          <t>SKÅNE LÄN</t>
        </is>
      </c>
      <c r="E3795" t="inlineStr">
        <is>
          <t>KLIPPAN</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34216-2023</t>
        </is>
      </c>
      <c r="B3796" s="1" t="n">
        <v>45126</v>
      </c>
      <c r="C3796" s="1" t="n">
        <v>45962</v>
      </c>
      <c r="D3796" t="inlineStr">
        <is>
          <t>SKÅNE LÄN</t>
        </is>
      </c>
      <c r="E3796" t="inlineStr">
        <is>
          <t>BROMÖLLA</t>
        </is>
      </c>
      <c r="F3796" t="inlineStr">
        <is>
          <t>Kyrkan</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157-2021</t>
        </is>
      </c>
      <c r="B3797" s="1" t="n">
        <v>44200</v>
      </c>
      <c r="C3797" s="1" t="n">
        <v>45962</v>
      </c>
      <c r="D3797" t="inlineStr">
        <is>
          <t>SKÅNE LÄN</t>
        </is>
      </c>
      <c r="E3797" t="inlineStr">
        <is>
          <t>OSBY</t>
        </is>
      </c>
      <c r="G3797" t="n">
        <v>2.9</v>
      </c>
      <c r="H3797" t="n">
        <v>0</v>
      </c>
      <c r="I3797" t="n">
        <v>0</v>
      </c>
      <c r="J3797" t="n">
        <v>0</v>
      </c>
      <c r="K3797" t="n">
        <v>0</v>
      </c>
      <c r="L3797" t="n">
        <v>0</v>
      </c>
      <c r="M3797" t="n">
        <v>0</v>
      </c>
      <c r="N3797" t="n">
        <v>0</v>
      </c>
      <c r="O3797" t="n">
        <v>0</v>
      </c>
      <c r="P3797" t="n">
        <v>0</v>
      </c>
      <c r="Q3797" t="n">
        <v>0</v>
      </c>
      <c r="R3797" s="2" t="inlineStr"/>
    </row>
    <row r="3798" ht="15" customHeight="1">
      <c r="A3798" t="inlineStr">
        <is>
          <t>A 28589-2025</t>
        </is>
      </c>
      <c r="B3798" s="1" t="n">
        <v>45819</v>
      </c>
      <c r="C3798" s="1" t="n">
        <v>45962</v>
      </c>
      <c r="D3798" t="inlineStr">
        <is>
          <t>SKÅNE LÄN</t>
        </is>
      </c>
      <c r="E3798" t="inlineStr">
        <is>
          <t>ÖSTRA GÖINGE</t>
        </is>
      </c>
      <c r="G3798" t="n">
        <v>3.5</v>
      </c>
      <c r="H3798" t="n">
        <v>0</v>
      </c>
      <c r="I3798" t="n">
        <v>0</v>
      </c>
      <c r="J3798" t="n">
        <v>0</v>
      </c>
      <c r="K3798" t="n">
        <v>0</v>
      </c>
      <c r="L3798" t="n">
        <v>0</v>
      </c>
      <c r="M3798" t="n">
        <v>0</v>
      </c>
      <c r="N3798" t="n">
        <v>0</v>
      </c>
      <c r="O3798" t="n">
        <v>0</v>
      </c>
      <c r="P3798" t="n">
        <v>0</v>
      </c>
      <c r="Q3798" t="n">
        <v>0</v>
      </c>
      <c r="R3798" s="2" t="inlineStr"/>
    </row>
    <row r="3799" ht="15" customHeight="1">
      <c r="A3799" t="inlineStr">
        <is>
          <t>A 31667-2025</t>
        </is>
      </c>
      <c r="B3799" s="1" t="n">
        <v>45834.36524305555</v>
      </c>
      <c r="C3799" s="1" t="n">
        <v>45962</v>
      </c>
      <c r="D3799" t="inlineStr">
        <is>
          <t>SKÅNE LÄN</t>
        </is>
      </c>
      <c r="E3799" t="inlineStr">
        <is>
          <t>OSBY</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31827-2025</t>
        </is>
      </c>
      <c r="B3800" s="1" t="n">
        <v>45834.58601851852</v>
      </c>
      <c r="C3800" s="1" t="n">
        <v>45962</v>
      </c>
      <c r="D3800" t="inlineStr">
        <is>
          <t>SKÅNE LÄN</t>
        </is>
      </c>
      <c r="E3800" t="inlineStr">
        <is>
          <t>OSBY</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31847-2025</t>
        </is>
      </c>
      <c r="B3801" s="1" t="n">
        <v>45834.60393518519</v>
      </c>
      <c r="C3801" s="1" t="n">
        <v>45962</v>
      </c>
      <c r="D3801" t="inlineStr">
        <is>
          <t>SKÅNE LÄN</t>
        </is>
      </c>
      <c r="E3801" t="inlineStr">
        <is>
          <t>ÖSTRA GÖINGE</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7016-2025</t>
        </is>
      </c>
      <c r="B3802" s="1" t="n">
        <v>45701</v>
      </c>
      <c r="C3802" s="1" t="n">
        <v>45962</v>
      </c>
      <c r="D3802" t="inlineStr">
        <is>
          <t>SKÅNE LÄN</t>
        </is>
      </c>
      <c r="E3802" t="inlineStr">
        <is>
          <t>ESLÖV</t>
        </is>
      </c>
      <c r="F3802" t="inlineStr">
        <is>
          <t>Sveaskog</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7492-2025</t>
        </is>
      </c>
      <c r="B3803" s="1" t="n">
        <v>45702</v>
      </c>
      <c r="C3803" s="1" t="n">
        <v>45962</v>
      </c>
      <c r="D3803" t="inlineStr">
        <is>
          <t>SKÅNE LÄN</t>
        </is>
      </c>
      <c r="E3803" t="inlineStr">
        <is>
          <t>PERSTORP</t>
        </is>
      </c>
      <c r="F3803" t="inlineStr">
        <is>
          <t>Övriga Aktiebolag</t>
        </is>
      </c>
      <c r="G3803" t="n">
        <v>2.3</v>
      </c>
      <c r="H3803" t="n">
        <v>0</v>
      </c>
      <c r="I3803" t="n">
        <v>0</v>
      </c>
      <c r="J3803" t="n">
        <v>0</v>
      </c>
      <c r="K3803" t="n">
        <v>0</v>
      </c>
      <c r="L3803" t="n">
        <v>0</v>
      </c>
      <c r="M3803" t="n">
        <v>0</v>
      </c>
      <c r="N3803" t="n">
        <v>0</v>
      </c>
      <c r="O3803" t="n">
        <v>0</v>
      </c>
      <c r="P3803" t="n">
        <v>0</v>
      </c>
      <c r="Q3803" t="n">
        <v>0</v>
      </c>
      <c r="R3803" s="2" t="inlineStr"/>
    </row>
    <row r="3804" ht="15" customHeight="1">
      <c r="A3804" t="inlineStr">
        <is>
          <t>A 47871-2022</t>
        </is>
      </c>
      <c r="B3804" s="1" t="n">
        <v>44855.43434027778</v>
      </c>
      <c r="C3804" s="1" t="n">
        <v>45962</v>
      </c>
      <c r="D3804" t="inlineStr">
        <is>
          <t>SKÅNE LÄN</t>
        </is>
      </c>
      <c r="E3804" t="inlineStr">
        <is>
          <t>ÖRKELLJUNGA</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34581-2023</t>
        </is>
      </c>
      <c r="B3805" s="1" t="n">
        <v>45140</v>
      </c>
      <c r="C3805" s="1" t="n">
        <v>45962</v>
      </c>
      <c r="D3805" t="inlineStr">
        <is>
          <t>SKÅNE LÄN</t>
        </is>
      </c>
      <c r="E3805" t="inlineStr">
        <is>
          <t>OSBY</t>
        </is>
      </c>
      <c r="G3805" t="n">
        <v>0.5</v>
      </c>
      <c r="H3805" t="n">
        <v>0</v>
      </c>
      <c r="I3805" t="n">
        <v>0</v>
      </c>
      <c r="J3805" t="n">
        <v>0</v>
      </c>
      <c r="K3805" t="n">
        <v>0</v>
      </c>
      <c r="L3805" t="n">
        <v>0</v>
      </c>
      <c r="M3805" t="n">
        <v>0</v>
      </c>
      <c r="N3805" t="n">
        <v>0</v>
      </c>
      <c r="O3805" t="n">
        <v>0</v>
      </c>
      <c r="P3805" t="n">
        <v>0</v>
      </c>
      <c r="Q3805" t="n">
        <v>0</v>
      </c>
      <c r="R3805" s="2" t="inlineStr"/>
    </row>
    <row r="3806" ht="15" customHeight="1">
      <c r="A3806" t="inlineStr">
        <is>
          <t>A 12872-2025</t>
        </is>
      </c>
      <c r="B3806" s="1" t="n">
        <v>45733</v>
      </c>
      <c r="C3806" s="1" t="n">
        <v>45962</v>
      </c>
      <c r="D3806" t="inlineStr">
        <is>
          <t>SKÅNE LÄN</t>
        </is>
      </c>
      <c r="E3806" t="inlineStr">
        <is>
          <t>OSBY</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55303-2024</t>
        </is>
      </c>
      <c r="B3807" s="1" t="n">
        <v>45621.6434837963</v>
      </c>
      <c r="C3807" s="1" t="n">
        <v>45962</v>
      </c>
      <c r="D3807" t="inlineStr">
        <is>
          <t>SKÅNE LÄN</t>
        </is>
      </c>
      <c r="E3807" t="inlineStr">
        <is>
          <t>HÄSSLEHOLM</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960-2021</t>
        </is>
      </c>
      <c r="B3808" s="1" t="n">
        <v>44207</v>
      </c>
      <c r="C3808" s="1" t="n">
        <v>45962</v>
      </c>
      <c r="D3808" t="inlineStr">
        <is>
          <t>SKÅNE LÄN</t>
        </is>
      </c>
      <c r="E3808" t="inlineStr">
        <is>
          <t>ÖSTRA GÖINGE</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59918-2022</t>
        </is>
      </c>
      <c r="B3809" s="1" t="n">
        <v>44909</v>
      </c>
      <c r="C3809" s="1" t="n">
        <v>45962</v>
      </c>
      <c r="D3809" t="inlineStr">
        <is>
          <t>SKÅNE LÄN</t>
        </is>
      </c>
      <c r="E3809" t="inlineStr">
        <is>
          <t>LUND</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20170-2024</t>
        </is>
      </c>
      <c r="B3810" s="1" t="n">
        <v>45434</v>
      </c>
      <c r="C3810" s="1" t="n">
        <v>45962</v>
      </c>
      <c r="D3810" t="inlineStr">
        <is>
          <t>SKÅNE LÄN</t>
        </is>
      </c>
      <c r="E3810" t="inlineStr">
        <is>
          <t>SVALÖV</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32219-2025</t>
        </is>
      </c>
      <c r="B3811" s="1" t="n">
        <v>45835.58896990741</v>
      </c>
      <c r="C3811" s="1" t="n">
        <v>45962</v>
      </c>
      <c r="D3811" t="inlineStr">
        <is>
          <t>SKÅNE LÄN</t>
        </is>
      </c>
      <c r="E3811" t="inlineStr">
        <is>
          <t>KRISTIANSTAD</t>
        </is>
      </c>
      <c r="G3811" t="n">
        <v>2.6</v>
      </c>
      <c r="H3811" t="n">
        <v>0</v>
      </c>
      <c r="I3811" t="n">
        <v>0</v>
      </c>
      <c r="J3811" t="n">
        <v>0</v>
      </c>
      <c r="K3811" t="n">
        <v>0</v>
      </c>
      <c r="L3811" t="n">
        <v>0</v>
      </c>
      <c r="M3811" t="n">
        <v>0</v>
      </c>
      <c r="N3811" t="n">
        <v>0</v>
      </c>
      <c r="O3811" t="n">
        <v>0</v>
      </c>
      <c r="P3811" t="n">
        <v>0</v>
      </c>
      <c r="Q3811" t="n">
        <v>0</v>
      </c>
      <c r="R3811" s="2" t="inlineStr"/>
    </row>
    <row r="3812" ht="15" customHeight="1">
      <c r="A3812" t="inlineStr">
        <is>
          <t>A 2554-2023</t>
        </is>
      </c>
      <c r="B3812" s="1" t="n">
        <v>44943.67172453704</v>
      </c>
      <c r="C3812" s="1" t="n">
        <v>45962</v>
      </c>
      <c r="D3812" t="inlineStr">
        <is>
          <t>SKÅNE LÄN</t>
        </is>
      </c>
      <c r="E3812" t="inlineStr">
        <is>
          <t>SIMRISHAMN</t>
        </is>
      </c>
      <c r="G3812" t="n">
        <v>0.1</v>
      </c>
      <c r="H3812" t="n">
        <v>0</v>
      </c>
      <c r="I3812" t="n">
        <v>0</v>
      </c>
      <c r="J3812" t="n">
        <v>0</v>
      </c>
      <c r="K3812" t="n">
        <v>0</v>
      </c>
      <c r="L3812" t="n">
        <v>0</v>
      </c>
      <c r="M3812" t="n">
        <v>0</v>
      </c>
      <c r="N3812" t="n">
        <v>0</v>
      </c>
      <c r="O3812" t="n">
        <v>0</v>
      </c>
      <c r="P3812" t="n">
        <v>0</v>
      </c>
      <c r="Q3812" t="n">
        <v>0</v>
      </c>
      <c r="R3812" s="2" t="inlineStr"/>
    </row>
    <row r="3813" ht="15" customHeight="1">
      <c r="A3813" t="inlineStr">
        <is>
          <t>A 31657-2025</t>
        </is>
      </c>
      <c r="B3813" s="1" t="n">
        <v>45834.34890046297</v>
      </c>
      <c r="C3813" s="1" t="n">
        <v>45962</v>
      </c>
      <c r="D3813" t="inlineStr">
        <is>
          <t>SKÅNE LÄN</t>
        </is>
      </c>
      <c r="E3813" t="inlineStr">
        <is>
          <t>OSBY</t>
        </is>
      </c>
      <c r="G3813" t="n">
        <v>0.9</v>
      </c>
      <c r="H3813" t="n">
        <v>0</v>
      </c>
      <c r="I3813" t="n">
        <v>0</v>
      </c>
      <c r="J3813" t="n">
        <v>0</v>
      </c>
      <c r="K3813" t="n">
        <v>0</v>
      </c>
      <c r="L3813" t="n">
        <v>0</v>
      </c>
      <c r="M3813" t="n">
        <v>0</v>
      </c>
      <c r="N3813" t="n">
        <v>0</v>
      </c>
      <c r="O3813" t="n">
        <v>0</v>
      </c>
      <c r="P3813" t="n">
        <v>0</v>
      </c>
      <c r="Q3813" t="n">
        <v>0</v>
      </c>
      <c r="R3813" s="2" t="inlineStr"/>
    </row>
    <row r="3814" ht="15" customHeight="1">
      <c r="A3814" t="inlineStr">
        <is>
          <t>A 27948-2023</t>
        </is>
      </c>
      <c r="B3814" s="1" t="n">
        <v>45098.66982638889</v>
      </c>
      <c r="C3814" s="1" t="n">
        <v>45962</v>
      </c>
      <c r="D3814" t="inlineStr">
        <is>
          <t>SKÅNE LÄN</t>
        </is>
      </c>
      <c r="E3814" t="inlineStr">
        <is>
          <t>KRISTIANSTAD</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27197-2021</t>
        </is>
      </c>
      <c r="B3815" s="1" t="n">
        <v>44350</v>
      </c>
      <c r="C3815" s="1" t="n">
        <v>45962</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45222-2023</t>
        </is>
      </c>
      <c r="B3816" s="1" t="n">
        <v>45191</v>
      </c>
      <c r="C3816" s="1" t="n">
        <v>45962</v>
      </c>
      <c r="D3816" t="inlineStr">
        <is>
          <t>SKÅNE LÄN</t>
        </is>
      </c>
      <c r="E3816" t="inlineStr">
        <is>
          <t>HÄSSLEHOLM</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35798-2023</t>
        </is>
      </c>
      <c r="B3817" s="1" t="n">
        <v>45148</v>
      </c>
      <c r="C3817" s="1" t="n">
        <v>45962</v>
      </c>
      <c r="D3817" t="inlineStr">
        <is>
          <t>SKÅNE LÄN</t>
        </is>
      </c>
      <c r="E3817" t="inlineStr">
        <is>
          <t>BROMÖLLA</t>
        </is>
      </c>
      <c r="G3817" t="n">
        <v>0.4</v>
      </c>
      <c r="H3817" t="n">
        <v>0</v>
      </c>
      <c r="I3817" t="n">
        <v>0</v>
      </c>
      <c r="J3817" t="n">
        <v>0</v>
      </c>
      <c r="K3817" t="n">
        <v>0</v>
      </c>
      <c r="L3817" t="n">
        <v>0</v>
      </c>
      <c r="M3817" t="n">
        <v>0</v>
      </c>
      <c r="N3817" t="n">
        <v>0</v>
      </c>
      <c r="O3817" t="n">
        <v>0</v>
      </c>
      <c r="P3817" t="n">
        <v>0</v>
      </c>
      <c r="Q3817" t="n">
        <v>0</v>
      </c>
      <c r="R3817" s="2" t="inlineStr"/>
    </row>
    <row r="3818" ht="15" customHeight="1">
      <c r="A3818" t="inlineStr">
        <is>
          <t>A 35890-2023</t>
        </is>
      </c>
      <c r="B3818" s="1" t="n">
        <v>45148</v>
      </c>
      <c r="C3818" s="1" t="n">
        <v>45962</v>
      </c>
      <c r="D3818" t="inlineStr">
        <is>
          <t>SKÅNE LÄN</t>
        </is>
      </c>
      <c r="E3818" t="inlineStr">
        <is>
          <t>HÄSSLEHOLM</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35895-2023</t>
        </is>
      </c>
      <c r="B3819" s="1" t="n">
        <v>45148</v>
      </c>
      <c r="C3819" s="1" t="n">
        <v>45962</v>
      </c>
      <c r="D3819" t="inlineStr">
        <is>
          <t>SKÅNE LÄN</t>
        </is>
      </c>
      <c r="E3819" t="inlineStr">
        <is>
          <t>HÄSSLEHOLM</t>
        </is>
      </c>
      <c r="G3819" t="n">
        <v>0.4</v>
      </c>
      <c r="H3819" t="n">
        <v>0</v>
      </c>
      <c r="I3819" t="n">
        <v>0</v>
      </c>
      <c r="J3819" t="n">
        <v>0</v>
      </c>
      <c r="K3819" t="n">
        <v>0</v>
      </c>
      <c r="L3819" t="n">
        <v>0</v>
      </c>
      <c r="M3819" t="n">
        <v>0</v>
      </c>
      <c r="N3819" t="n">
        <v>0</v>
      </c>
      <c r="O3819" t="n">
        <v>0</v>
      </c>
      <c r="P3819" t="n">
        <v>0</v>
      </c>
      <c r="Q3819" t="n">
        <v>0</v>
      </c>
      <c r="R3819" s="2" t="inlineStr"/>
    </row>
    <row r="3820" ht="15" customHeight="1">
      <c r="A3820" t="inlineStr">
        <is>
          <t>A 66043-2020</t>
        </is>
      </c>
      <c r="B3820" s="1" t="n">
        <v>44175</v>
      </c>
      <c r="C3820" s="1" t="n">
        <v>45962</v>
      </c>
      <c r="D3820" t="inlineStr">
        <is>
          <t>SKÅNE LÄN</t>
        </is>
      </c>
      <c r="E3820" t="inlineStr">
        <is>
          <t>HÖÖR</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61569-2023</t>
        </is>
      </c>
      <c r="B3821" s="1" t="n">
        <v>45265</v>
      </c>
      <c r="C3821" s="1" t="n">
        <v>45962</v>
      </c>
      <c r="D3821" t="inlineStr">
        <is>
          <t>SKÅNE LÄN</t>
        </is>
      </c>
      <c r="E3821" t="inlineStr">
        <is>
          <t>HÄSSLEHOLM</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41529-2023</t>
        </is>
      </c>
      <c r="B3822" s="1" t="n">
        <v>45175.55418981481</v>
      </c>
      <c r="C3822" s="1" t="n">
        <v>45962</v>
      </c>
      <c r="D3822" t="inlineStr">
        <is>
          <t>SKÅNE LÄN</t>
        </is>
      </c>
      <c r="E3822" t="inlineStr">
        <is>
          <t>OSBY</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42177-2023</t>
        </is>
      </c>
      <c r="B3823" s="1" t="n">
        <v>45178.7221412037</v>
      </c>
      <c r="C3823" s="1" t="n">
        <v>45962</v>
      </c>
      <c r="D3823" t="inlineStr">
        <is>
          <t>SKÅNE LÄN</t>
        </is>
      </c>
      <c r="E3823" t="inlineStr">
        <is>
          <t>ÖRKELLJUNGA</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42231-2023</t>
        </is>
      </c>
      <c r="B3824" s="1" t="n">
        <v>45180.31387731482</v>
      </c>
      <c r="C3824" s="1" t="n">
        <v>45962</v>
      </c>
      <c r="D3824" t="inlineStr">
        <is>
          <t>SKÅNE LÄN</t>
        </is>
      </c>
      <c r="E3824" t="inlineStr">
        <is>
          <t>SIMRISHAMN</t>
        </is>
      </c>
      <c r="G3824" t="n">
        <v>2.4</v>
      </c>
      <c r="H3824" t="n">
        <v>0</v>
      </c>
      <c r="I3824" t="n">
        <v>0</v>
      </c>
      <c r="J3824" t="n">
        <v>0</v>
      </c>
      <c r="K3824" t="n">
        <v>0</v>
      </c>
      <c r="L3824" t="n">
        <v>0</v>
      </c>
      <c r="M3824" t="n">
        <v>0</v>
      </c>
      <c r="N3824" t="n">
        <v>0</v>
      </c>
      <c r="O3824" t="n">
        <v>0</v>
      </c>
      <c r="P3824" t="n">
        <v>0</v>
      </c>
      <c r="Q3824" t="n">
        <v>0</v>
      </c>
      <c r="R3824" s="2" t="inlineStr"/>
    </row>
    <row r="3825" ht="15" customHeight="1">
      <c r="A3825" t="inlineStr">
        <is>
          <t>A 36358-2023</t>
        </is>
      </c>
      <c r="B3825" s="1" t="n">
        <v>45166</v>
      </c>
      <c r="C3825" s="1" t="n">
        <v>45962</v>
      </c>
      <c r="D3825" t="inlineStr">
        <is>
          <t>SKÅNE LÄN</t>
        </is>
      </c>
      <c r="E3825" t="inlineStr">
        <is>
          <t>KRISTIANSTAD</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52235-2021</t>
        </is>
      </c>
      <c r="B3826" s="1" t="n">
        <v>44463.60085648148</v>
      </c>
      <c r="C3826" s="1" t="n">
        <v>45962</v>
      </c>
      <c r="D3826" t="inlineStr">
        <is>
          <t>SKÅNE LÄN</t>
        </is>
      </c>
      <c r="E3826" t="inlineStr">
        <is>
          <t>HÄSSLEHOLM</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31823-2025</t>
        </is>
      </c>
      <c r="B3827" s="1" t="n">
        <v>45834.581875</v>
      </c>
      <c r="C3827" s="1" t="n">
        <v>45962</v>
      </c>
      <c r="D3827" t="inlineStr">
        <is>
          <t>SKÅNE LÄN</t>
        </is>
      </c>
      <c r="E3827" t="inlineStr">
        <is>
          <t>ÖSTRA GÖINGE</t>
        </is>
      </c>
      <c r="G3827" t="n">
        <v>5.5</v>
      </c>
      <c r="H3827" t="n">
        <v>0</v>
      </c>
      <c r="I3827" t="n">
        <v>0</v>
      </c>
      <c r="J3827" t="n">
        <v>0</v>
      </c>
      <c r="K3827" t="n">
        <v>0</v>
      </c>
      <c r="L3827" t="n">
        <v>0</v>
      </c>
      <c r="M3827" t="n">
        <v>0</v>
      </c>
      <c r="N3827" t="n">
        <v>0</v>
      </c>
      <c r="O3827" t="n">
        <v>0</v>
      </c>
      <c r="P3827" t="n">
        <v>0</v>
      </c>
      <c r="Q3827" t="n">
        <v>0</v>
      </c>
      <c r="R3827" s="2" t="inlineStr"/>
    </row>
    <row r="3828" ht="15" customHeight="1">
      <c r="A3828" t="inlineStr">
        <is>
          <t>A 31841-2025</t>
        </is>
      </c>
      <c r="B3828" s="1" t="n">
        <v>45834.59766203703</v>
      </c>
      <c r="C3828" s="1" t="n">
        <v>45962</v>
      </c>
      <c r="D3828" t="inlineStr">
        <is>
          <t>SKÅNE LÄN</t>
        </is>
      </c>
      <c r="E3828" t="inlineStr">
        <is>
          <t>ÖSTRA GÖINGE</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39898-2023</t>
        </is>
      </c>
      <c r="B3829" s="1" t="n">
        <v>45166</v>
      </c>
      <c r="C3829" s="1" t="n">
        <v>45962</v>
      </c>
      <c r="D3829" t="inlineStr">
        <is>
          <t>SKÅNE LÄN</t>
        </is>
      </c>
      <c r="E3829" t="inlineStr">
        <is>
          <t>KRISTIANSTAD</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60031-2024</t>
        </is>
      </c>
      <c r="B3830" s="1" t="n">
        <v>45642.45993055555</v>
      </c>
      <c r="C3830" s="1" t="n">
        <v>45962</v>
      </c>
      <c r="D3830" t="inlineStr">
        <is>
          <t>SKÅNE LÄN</t>
        </is>
      </c>
      <c r="E3830" t="inlineStr">
        <is>
          <t>OSBY</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29075-2023</t>
        </is>
      </c>
      <c r="B3831" s="1" t="n">
        <v>45104</v>
      </c>
      <c r="C3831" s="1" t="n">
        <v>45962</v>
      </c>
      <c r="D3831" t="inlineStr">
        <is>
          <t>SKÅNE LÄN</t>
        </is>
      </c>
      <c r="E3831" t="inlineStr">
        <is>
          <t>LUND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31858-2025</t>
        </is>
      </c>
      <c r="B3832" s="1" t="n">
        <v>45834.62658564815</v>
      </c>
      <c r="C3832" s="1" t="n">
        <v>45962</v>
      </c>
      <c r="D3832" t="inlineStr">
        <is>
          <t>SKÅNE LÄN</t>
        </is>
      </c>
      <c r="E3832" t="inlineStr">
        <is>
          <t>ÖSTRA GÖINGE</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34422-2024</t>
        </is>
      </c>
      <c r="B3833" s="1" t="n">
        <v>45525</v>
      </c>
      <c r="C3833" s="1" t="n">
        <v>45962</v>
      </c>
      <c r="D3833" t="inlineStr">
        <is>
          <t>SKÅNE LÄN</t>
        </is>
      </c>
      <c r="E3833" t="inlineStr">
        <is>
          <t>HÖRBY</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34175-2025</t>
        </is>
      </c>
      <c r="B3834" s="1" t="n">
        <v>45835</v>
      </c>
      <c r="C3834" s="1" t="n">
        <v>45962</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26473-2024</t>
        </is>
      </c>
      <c r="B3835" s="1" t="n">
        <v>45469</v>
      </c>
      <c r="C3835" s="1" t="n">
        <v>45962</v>
      </c>
      <c r="D3835" t="inlineStr">
        <is>
          <t>SKÅNE LÄN</t>
        </is>
      </c>
      <c r="E3835" t="inlineStr">
        <is>
          <t>TOMELILLA</t>
        </is>
      </c>
      <c r="G3835" t="n">
        <v>4.4</v>
      </c>
      <c r="H3835" t="n">
        <v>0</v>
      </c>
      <c r="I3835" t="n">
        <v>0</v>
      </c>
      <c r="J3835" t="n">
        <v>0</v>
      </c>
      <c r="K3835" t="n">
        <v>0</v>
      </c>
      <c r="L3835" t="n">
        <v>0</v>
      </c>
      <c r="M3835" t="n">
        <v>0</v>
      </c>
      <c r="N3835" t="n">
        <v>0</v>
      </c>
      <c r="O3835" t="n">
        <v>0</v>
      </c>
      <c r="P3835" t="n">
        <v>0</v>
      </c>
      <c r="Q3835" t="n">
        <v>0</v>
      </c>
      <c r="R3835" s="2" t="inlineStr"/>
    </row>
    <row r="3836" ht="15" customHeight="1">
      <c r="A3836" t="inlineStr">
        <is>
          <t>A 6174-2025</t>
        </is>
      </c>
      <c r="B3836" s="1" t="n">
        <v>45698</v>
      </c>
      <c r="C3836" s="1" t="n">
        <v>45962</v>
      </c>
      <c r="D3836" t="inlineStr">
        <is>
          <t>SKÅNE LÄN</t>
        </is>
      </c>
      <c r="E3836" t="inlineStr">
        <is>
          <t>HÖÖR</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60460-2023</t>
        </is>
      </c>
      <c r="B3837" s="1" t="n">
        <v>45258</v>
      </c>
      <c r="C3837" s="1" t="n">
        <v>45962</v>
      </c>
      <c r="D3837" t="inlineStr">
        <is>
          <t>SKÅNE LÄN</t>
        </is>
      </c>
      <c r="E3837" t="inlineStr">
        <is>
          <t>KRISTIANSTAD</t>
        </is>
      </c>
      <c r="G3837" t="n">
        <v>4.5</v>
      </c>
      <c r="H3837" t="n">
        <v>0</v>
      </c>
      <c r="I3837" t="n">
        <v>0</v>
      </c>
      <c r="J3837" t="n">
        <v>0</v>
      </c>
      <c r="K3837" t="n">
        <v>0</v>
      </c>
      <c r="L3837" t="n">
        <v>0</v>
      </c>
      <c r="M3837" t="n">
        <v>0</v>
      </c>
      <c r="N3837" t="n">
        <v>0</v>
      </c>
      <c r="O3837" t="n">
        <v>0</v>
      </c>
      <c r="P3837" t="n">
        <v>0</v>
      </c>
      <c r="Q3837" t="n">
        <v>0</v>
      </c>
      <c r="R3837" s="2" t="inlineStr"/>
    </row>
    <row r="3838" ht="15" customHeight="1">
      <c r="A3838" t="inlineStr">
        <is>
          <t>A 34096-2025</t>
        </is>
      </c>
      <c r="B3838" s="1" t="n">
        <v>45845</v>
      </c>
      <c r="C3838" s="1" t="n">
        <v>45962</v>
      </c>
      <c r="D3838" t="inlineStr">
        <is>
          <t>SKÅNE LÄN</t>
        </is>
      </c>
      <c r="E3838" t="inlineStr">
        <is>
          <t>KRISTIANSTAD</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31814-2025</t>
        </is>
      </c>
      <c r="B3839" s="1" t="n">
        <v>45834.56790509259</v>
      </c>
      <c r="C3839" s="1" t="n">
        <v>45962</v>
      </c>
      <c r="D3839" t="inlineStr">
        <is>
          <t>SKÅNE LÄN</t>
        </is>
      </c>
      <c r="E3839" t="inlineStr">
        <is>
          <t>OSBY</t>
        </is>
      </c>
      <c r="G3839" t="n">
        <v>3.9</v>
      </c>
      <c r="H3839" t="n">
        <v>0</v>
      </c>
      <c r="I3839" t="n">
        <v>0</v>
      </c>
      <c r="J3839" t="n">
        <v>0</v>
      </c>
      <c r="K3839" t="n">
        <v>0</v>
      </c>
      <c r="L3839" t="n">
        <v>0</v>
      </c>
      <c r="M3839" t="n">
        <v>0</v>
      </c>
      <c r="N3839" t="n">
        <v>0</v>
      </c>
      <c r="O3839" t="n">
        <v>0</v>
      </c>
      <c r="P3839" t="n">
        <v>0</v>
      </c>
      <c r="Q3839" t="n">
        <v>0</v>
      </c>
      <c r="R3839" s="2" t="inlineStr"/>
    </row>
    <row r="3840" ht="15" customHeight="1">
      <c r="A3840" t="inlineStr">
        <is>
          <t>A 31638-2025</t>
        </is>
      </c>
      <c r="B3840" s="1" t="n">
        <v>45834.34193287037</v>
      </c>
      <c r="C3840" s="1" t="n">
        <v>45962</v>
      </c>
      <c r="D3840" t="inlineStr">
        <is>
          <t>SKÅNE LÄN</t>
        </is>
      </c>
      <c r="E3840" t="inlineStr">
        <is>
          <t>OSBY</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53455-2022</t>
        </is>
      </c>
      <c r="B3841" s="1" t="n">
        <v>44874</v>
      </c>
      <c r="C3841" s="1" t="n">
        <v>45962</v>
      </c>
      <c r="D3841" t="inlineStr">
        <is>
          <t>SKÅNE LÄN</t>
        </is>
      </c>
      <c r="E3841" t="inlineStr">
        <is>
          <t>HÖÖR</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55410-2022</t>
        </is>
      </c>
      <c r="B3842" s="1" t="n">
        <v>44882</v>
      </c>
      <c r="C3842" s="1" t="n">
        <v>45962</v>
      </c>
      <c r="D3842" t="inlineStr">
        <is>
          <t>SKÅNE LÄN</t>
        </is>
      </c>
      <c r="E3842" t="inlineStr">
        <is>
          <t>PERSTORP</t>
        </is>
      </c>
      <c r="F3842" t="inlineStr">
        <is>
          <t>Övriga Aktiebolag</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53501-2022</t>
        </is>
      </c>
      <c r="B3843" s="1" t="n">
        <v>44879</v>
      </c>
      <c r="C3843" s="1" t="n">
        <v>45962</v>
      </c>
      <c r="D3843" t="inlineStr">
        <is>
          <t>SKÅNE LÄN</t>
        </is>
      </c>
      <c r="E3843" t="inlineStr">
        <is>
          <t>ÄNGELHOLM</t>
        </is>
      </c>
      <c r="G3843" t="n">
        <v>7.2</v>
      </c>
      <c r="H3843" t="n">
        <v>0</v>
      </c>
      <c r="I3843" t="n">
        <v>0</v>
      </c>
      <c r="J3843" t="n">
        <v>0</v>
      </c>
      <c r="K3843" t="n">
        <v>0</v>
      </c>
      <c r="L3843" t="n">
        <v>0</v>
      </c>
      <c r="M3843" t="n">
        <v>0</v>
      </c>
      <c r="N3843" t="n">
        <v>0</v>
      </c>
      <c r="O3843" t="n">
        <v>0</v>
      </c>
      <c r="P3843" t="n">
        <v>0</v>
      </c>
      <c r="Q3843" t="n">
        <v>0</v>
      </c>
      <c r="R3843" s="2" t="inlineStr"/>
    </row>
    <row r="3844" ht="15" customHeight="1">
      <c r="A3844" t="inlineStr">
        <is>
          <t>A 5590-2022</t>
        </is>
      </c>
      <c r="B3844" s="1" t="n">
        <v>44595</v>
      </c>
      <c r="C3844" s="1" t="n">
        <v>45962</v>
      </c>
      <c r="D3844" t="inlineStr">
        <is>
          <t>SKÅNE LÄN</t>
        </is>
      </c>
      <c r="E3844" t="inlineStr">
        <is>
          <t>KRISTIANSTAD</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46336-2025</t>
        </is>
      </c>
      <c r="B3845" s="1" t="n">
        <v>45925.46207175926</v>
      </c>
      <c r="C3845" s="1" t="n">
        <v>45962</v>
      </c>
      <c r="D3845" t="inlineStr">
        <is>
          <t>SKÅNE LÄN</t>
        </is>
      </c>
      <c r="E3845" t="inlineStr">
        <is>
          <t>KRISTIANSTAD</t>
        </is>
      </c>
      <c r="G3845" t="n">
        <v>3.2</v>
      </c>
      <c r="H3845" t="n">
        <v>0</v>
      </c>
      <c r="I3845" t="n">
        <v>0</v>
      </c>
      <c r="J3845" t="n">
        <v>0</v>
      </c>
      <c r="K3845" t="n">
        <v>0</v>
      </c>
      <c r="L3845" t="n">
        <v>0</v>
      </c>
      <c r="M3845" t="n">
        <v>0</v>
      </c>
      <c r="N3845" t="n">
        <v>0</v>
      </c>
      <c r="O3845" t="n">
        <v>0</v>
      </c>
      <c r="P3845" t="n">
        <v>0</v>
      </c>
      <c r="Q3845" t="n">
        <v>0</v>
      </c>
      <c r="R3845" s="2" t="inlineStr"/>
    </row>
    <row r="3846" ht="15" customHeight="1">
      <c r="A3846" t="inlineStr">
        <is>
          <t>A 46340-2025</t>
        </is>
      </c>
      <c r="B3846" s="1" t="n">
        <v>45925.46439814815</v>
      </c>
      <c r="C3846" s="1" t="n">
        <v>45962</v>
      </c>
      <c r="D3846" t="inlineStr">
        <is>
          <t>SKÅNE LÄN</t>
        </is>
      </c>
      <c r="E3846" t="inlineStr">
        <is>
          <t>KRISTIANSTAD</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38856-2025</t>
        </is>
      </c>
      <c r="B3847" s="1" t="n">
        <v>45887</v>
      </c>
      <c r="C3847" s="1" t="n">
        <v>45962</v>
      </c>
      <c r="D3847" t="inlineStr">
        <is>
          <t>SKÅNE LÄN</t>
        </is>
      </c>
      <c r="E3847" t="inlineStr">
        <is>
          <t>ÄNGELHOLM</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31947-2025</t>
        </is>
      </c>
      <c r="B3848" s="1" t="n">
        <v>45835.32391203703</v>
      </c>
      <c r="C3848" s="1" t="n">
        <v>45962</v>
      </c>
      <c r="D3848" t="inlineStr">
        <is>
          <t>SKÅNE LÄN</t>
        </is>
      </c>
      <c r="E3848" t="inlineStr">
        <is>
          <t>OSBY</t>
        </is>
      </c>
      <c r="G3848" t="n">
        <v>6.1</v>
      </c>
      <c r="H3848" t="n">
        <v>0</v>
      </c>
      <c r="I3848" t="n">
        <v>0</v>
      </c>
      <c r="J3848" t="n">
        <v>0</v>
      </c>
      <c r="K3848" t="n">
        <v>0</v>
      </c>
      <c r="L3848" t="n">
        <v>0</v>
      </c>
      <c r="M3848" t="n">
        <v>0</v>
      </c>
      <c r="N3848" t="n">
        <v>0</v>
      </c>
      <c r="O3848" t="n">
        <v>0</v>
      </c>
      <c r="P3848" t="n">
        <v>0</v>
      </c>
      <c r="Q3848" t="n">
        <v>0</v>
      </c>
      <c r="R3848" s="2" t="inlineStr"/>
    </row>
    <row r="3849" ht="15" customHeight="1">
      <c r="A3849" t="inlineStr">
        <is>
          <t>A 59702-2022</t>
        </is>
      </c>
      <c r="B3849" s="1" t="n">
        <v>44908</v>
      </c>
      <c r="C3849" s="1" t="n">
        <v>45962</v>
      </c>
      <c r="D3849" t="inlineStr">
        <is>
          <t>SKÅNE LÄN</t>
        </is>
      </c>
      <c r="E3849" t="inlineStr">
        <is>
          <t>HÖÖR</t>
        </is>
      </c>
      <c r="F3849" t="inlineStr">
        <is>
          <t>Sveaskog</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29292-2023</t>
        </is>
      </c>
      <c r="B3850" s="1" t="n">
        <v>45105</v>
      </c>
      <c r="C3850" s="1" t="n">
        <v>45962</v>
      </c>
      <c r="D3850" t="inlineStr">
        <is>
          <t>SKÅNE LÄN</t>
        </is>
      </c>
      <c r="E3850" t="inlineStr">
        <is>
          <t>OSBY</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32958-2025</t>
        </is>
      </c>
      <c r="B3851" s="1" t="n">
        <v>45839</v>
      </c>
      <c r="C3851" s="1" t="n">
        <v>45962</v>
      </c>
      <c r="D3851" t="inlineStr">
        <is>
          <t>SKÅNE LÄN</t>
        </is>
      </c>
      <c r="E3851" t="inlineStr">
        <is>
          <t>HÖRBY</t>
        </is>
      </c>
      <c r="G3851" t="n">
        <v>5</v>
      </c>
      <c r="H3851" t="n">
        <v>0</v>
      </c>
      <c r="I3851" t="n">
        <v>0</v>
      </c>
      <c r="J3851" t="n">
        <v>0</v>
      </c>
      <c r="K3851" t="n">
        <v>0</v>
      </c>
      <c r="L3851" t="n">
        <v>0</v>
      </c>
      <c r="M3851" t="n">
        <v>0</v>
      </c>
      <c r="N3851" t="n">
        <v>0</v>
      </c>
      <c r="O3851" t="n">
        <v>0</v>
      </c>
      <c r="P3851" t="n">
        <v>0</v>
      </c>
      <c r="Q3851" t="n">
        <v>0</v>
      </c>
      <c r="R3851" s="2" t="inlineStr"/>
    </row>
    <row r="3852" ht="15" customHeight="1">
      <c r="A3852" t="inlineStr">
        <is>
          <t>A 13594-2024</t>
        </is>
      </c>
      <c r="B3852" s="1" t="n">
        <v>45390.31023148148</v>
      </c>
      <c r="C3852" s="1" t="n">
        <v>45962</v>
      </c>
      <c r="D3852" t="inlineStr">
        <is>
          <t>SKÅNE LÄN</t>
        </is>
      </c>
      <c r="E3852" t="inlineStr">
        <is>
          <t>OSBY</t>
        </is>
      </c>
      <c r="F3852" t="inlineStr">
        <is>
          <t>Sveaskog</t>
        </is>
      </c>
      <c r="G3852" t="n">
        <v>0.4</v>
      </c>
      <c r="H3852" t="n">
        <v>0</v>
      </c>
      <c r="I3852" t="n">
        <v>0</v>
      </c>
      <c r="J3852" t="n">
        <v>0</v>
      </c>
      <c r="K3852" t="n">
        <v>0</v>
      </c>
      <c r="L3852" t="n">
        <v>0</v>
      </c>
      <c r="M3852" t="n">
        <v>0</v>
      </c>
      <c r="N3852" t="n">
        <v>0</v>
      </c>
      <c r="O3852" t="n">
        <v>0</v>
      </c>
      <c r="P3852" t="n">
        <v>0</v>
      </c>
      <c r="Q3852" t="n">
        <v>0</v>
      </c>
      <c r="R3852" s="2" t="inlineStr"/>
    </row>
    <row r="3853" ht="15" customHeight="1">
      <c r="A3853" t="inlineStr">
        <is>
          <t>A 26907-2024</t>
        </is>
      </c>
      <c r="B3853" s="1" t="n">
        <v>45470</v>
      </c>
      <c r="C3853" s="1" t="n">
        <v>45962</v>
      </c>
      <c r="D3853" t="inlineStr">
        <is>
          <t>SKÅNE LÄN</t>
        </is>
      </c>
      <c r="E3853" t="inlineStr">
        <is>
          <t>KRISTIANSTAD</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54471-2023</t>
        </is>
      </c>
      <c r="B3854" s="1" t="n">
        <v>45233.4640162037</v>
      </c>
      <c r="C3854" s="1" t="n">
        <v>45962</v>
      </c>
      <c r="D3854" t="inlineStr">
        <is>
          <t>SKÅNE LÄN</t>
        </is>
      </c>
      <c r="E3854" t="inlineStr">
        <is>
          <t>HÄSSLEHOLM</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40190-2022</t>
        </is>
      </c>
      <c r="B3855" s="1" t="n">
        <v>44820.591875</v>
      </c>
      <c r="C3855" s="1" t="n">
        <v>45962</v>
      </c>
      <c r="D3855" t="inlineStr">
        <is>
          <t>SKÅNE LÄN</t>
        </is>
      </c>
      <c r="E3855" t="inlineStr">
        <is>
          <t>ÖRKELLJUNGA</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13596-2024</t>
        </is>
      </c>
      <c r="B3856" s="1" t="n">
        <v>45390.31269675926</v>
      </c>
      <c r="C3856" s="1" t="n">
        <v>45962</v>
      </c>
      <c r="D3856" t="inlineStr">
        <is>
          <t>SKÅNE LÄN</t>
        </is>
      </c>
      <c r="E3856" t="inlineStr">
        <is>
          <t>OSBY</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4159-2023</t>
        </is>
      </c>
      <c r="B3857" s="1" t="n">
        <v>44953</v>
      </c>
      <c r="C3857" s="1" t="n">
        <v>45962</v>
      </c>
      <c r="D3857" t="inlineStr">
        <is>
          <t>SKÅNE LÄN</t>
        </is>
      </c>
      <c r="E3857" t="inlineStr">
        <is>
          <t>ÅSTORP</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54348-2022</t>
        </is>
      </c>
      <c r="B3858" s="1" t="n">
        <v>44882</v>
      </c>
      <c r="C3858" s="1" t="n">
        <v>45962</v>
      </c>
      <c r="D3858" t="inlineStr">
        <is>
          <t>SKÅNE LÄN</t>
        </is>
      </c>
      <c r="E3858" t="inlineStr">
        <is>
          <t>KLIPPAN</t>
        </is>
      </c>
      <c r="G3858" t="n">
        <v>7.8</v>
      </c>
      <c r="H3858" t="n">
        <v>0</v>
      </c>
      <c r="I3858" t="n">
        <v>0</v>
      </c>
      <c r="J3858" t="n">
        <v>0</v>
      </c>
      <c r="K3858" t="n">
        <v>0</v>
      </c>
      <c r="L3858" t="n">
        <v>0</v>
      </c>
      <c r="M3858" t="n">
        <v>0</v>
      </c>
      <c r="N3858" t="n">
        <v>0</v>
      </c>
      <c r="O3858" t="n">
        <v>0</v>
      </c>
      <c r="P3858" t="n">
        <v>0</v>
      </c>
      <c r="Q3858" t="n">
        <v>0</v>
      </c>
      <c r="R3858" s="2" t="inlineStr"/>
    </row>
    <row r="3859" ht="15" customHeight="1">
      <c r="A3859" t="inlineStr">
        <is>
          <t>A 40202-2022</t>
        </is>
      </c>
      <c r="B3859" s="1" t="n">
        <v>44820.60614583334</v>
      </c>
      <c r="C3859" s="1" t="n">
        <v>45962</v>
      </c>
      <c r="D3859" t="inlineStr">
        <is>
          <t>SKÅNE LÄN</t>
        </is>
      </c>
      <c r="E3859" t="inlineStr">
        <is>
          <t>HÄSSLEHOLM</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13633-2024</t>
        </is>
      </c>
      <c r="B3860" s="1" t="n">
        <v>45390.42027777778</v>
      </c>
      <c r="C3860" s="1" t="n">
        <v>45962</v>
      </c>
      <c r="D3860" t="inlineStr">
        <is>
          <t>SKÅNE LÄN</t>
        </is>
      </c>
      <c r="E3860" t="inlineStr">
        <is>
          <t>HÖRBY</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17753-2025</t>
        </is>
      </c>
      <c r="B3861" s="1" t="n">
        <v>45758</v>
      </c>
      <c r="C3861" s="1" t="n">
        <v>45962</v>
      </c>
      <c r="D3861" t="inlineStr">
        <is>
          <t>SKÅNE LÄN</t>
        </is>
      </c>
      <c r="E3861" t="inlineStr">
        <is>
          <t>KRISTIANSTAD</t>
        </is>
      </c>
      <c r="G3861" t="n">
        <v>7.2</v>
      </c>
      <c r="H3861" t="n">
        <v>0</v>
      </c>
      <c r="I3861" t="n">
        <v>0</v>
      </c>
      <c r="J3861" t="n">
        <v>0</v>
      </c>
      <c r="K3861" t="n">
        <v>0</v>
      </c>
      <c r="L3861" t="n">
        <v>0</v>
      </c>
      <c r="M3861" t="n">
        <v>0</v>
      </c>
      <c r="N3861" t="n">
        <v>0</v>
      </c>
      <c r="O3861" t="n">
        <v>0</v>
      </c>
      <c r="P3861" t="n">
        <v>0</v>
      </c>
      <c r="Q3861" t="n">
        <v>0</v>
      </c>
      <c r="R3861" s="2" t="inlineStr"/>
    </row>
    <row r="3862" ht="15" customHeight="1">
      <c r="A3862" t="inlineStr">
        <is>
          <t>A 63077-2021</t>
        </is>
      </c>
      <c r="B3862" s="1" t="n">
        <v>44505</v>
      </c>
      <c r="C3862" s="1" t="n">
        <v>45962</v>
      </c>
      <c r="D3862" t="inlineStr">
        <is>
          <t>SKÅNE LÄN</t>
        </is>
      </c>
      <c r="E3862" t="inlineStr">
        <is>
          <t>OSBY</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6261-2024</t>
        </is>
      </c>
      <c r="B3863" s="1" t="n">
        <v>45337</v>
      </c>
      <c r="C3863" s="1" t="n">
        <v>45962</v>
      </c>
      <c r="D3863" t="inlineStr">
        <is>
          <t>SKÅNE LÄN</t>
        </is>
      </c>
      <c r="E3863" t="inlineStr">
        <is>
          <t>TOMELILLA</t>
        </is>
      </c>
      <c r="G3863" t="n">
        <v>12.6</v>
      </c>
      <c r="H3863" t="n">
        <v>0</v>
      </c>
      <c r="I3863" t="n">
        <v>0</v>
      </c>
      <c r="J3863" t="n">
        <v>0</v>
      </c>
      <c r="K3863" t="n">
        <v>0</v>
      </c>
      <c r="L3863" t="n">
        <v>0</v>
      </c>
      <c r="M3863" t="n">
        <v>0</v>
      </c>
      <c r="N3863" t="n">
        <v>0</v>
      </c>
      <c r="O3863" t="n">
        <v>0</v>
      </c>
      <c r="P3863" t="n">
        <v>0</v>
      </c>
      <c r="Q3863" t="n">
        <v>0</v>
      </c>
      <c r="R3863" s="2" t="inlineStr"/>
    </row>
    <row r="3864" ht="15" customHeight="1">
      <c r="A3864" t="inlineStr">
        <is>
          <t>A 29649-2025</t>
        </is>
      </c>
      <c r="B3864" s="1" t="n">
        <v>45825.47446759259</v>
      </c>
      <c r="C3864" s="1" t="n">
        <v>45962</v>
      </c>
      <c r="D3864" t="inlineStr">
        <is>
          <t>SKÅNE LÄN</t>
        </is>
      </c>
      <c r="E3864" t="inlineStr">
        <is>
          <t>HÄSSLEHOLM</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8478-2025</t>
        </is>
      </c>
      <c r="B3865" s="1" t="n">
        <v>45709.48738425926</v>
      </c>
      <c r="C3865" s="1" t="n">
        <v>45962</v>
      </c>
      <c r="D3865" t="inlineStr">
        <is>
          <t>SKÅNE LÄN</t>
        </is>
      </c>
      <c r="E3865" t="inlineStr">
        <is>
          <t>HÖÖR</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44816-2023</t>
        </is>
      </c>
      <c r="B3866" s="1" t="n">
        <v>45190.51157407407</v>
      </c>
      <c r="C3866" s="1" t="n">
        <v>45962</v>
      </c>
      <c r="D3866" t="inlineStr">
        <is>
          <t>SKÅNE LÄN</t>
        </is>
      </c>
      <c r="E3866" t="inlineStr">
        <is>
          <t>HÖRBY</t>
        </is>
      </c>
      <c r="G3866" t="n">
        <v>1</v>
      </c>
      <c r="H3866" t="n">
        <v>0</v>
      </c>
      <c r="I3866" t="n">
        <v>0</v>
      </c>
      <c r="J3866" t="n">
        <v>0</v>
      </c>
      <c r="K3866" t="n">
        <v>0</v>
      </c>
      <c r="L3866" t="n">
        <v>0</v>
      </c>
      <c r="M3866" t="n">
        <v>0</v>
      </c>
      <c r="N3866" t="n">
        <v>0</v>
      </c>
      <c r="O3866" t="n">
        <v>0</v>
      </c>
      <c r="P3866" t="n">
        <v>0</v>
      </c>
      <c r="Q3866" t="n">
        <v>0</v>
      </c>
      <c r="R3866" s="2" t="inlineStr"/>
    </row>
    <row r="3867" ht="15" customHeight="1">
      <c r="A3867" t="inlineStr">
        <is>
          <t>A 21238-2024</t>
        </is>
      </c>
      <c r="B3867" s="1" t="n">
        <v>45440.58768518519</v>
      </c>
      <c r="C3867" s="1" t="n">
        <v>45962</v>
      </c>
      <c r="D3867" t="inlineStr">
        <is>
          <t>SKÅNE LÄN</t>
        </is>
      </c>
      <c r="E3867" t="inlineStr">
        <is>
          <t>KRISTIANSTAD</t>
        </is>
      </c>
      <c r="G3867" t="n">
        <v>5.4</v>
      </c>
      <c r="H3867" t="n">
        <v>0</v>
      </c>
      <c r="I3867" t="n">
        <v>0</v>
      </c>
      <c r="J3867" t="n">
        <v>0</v>
      </c>
      <c r="K3867" t="n">
        <v>0</v>
      </c>
      <c r="L3867" t="n">
        <v>0</v>
      </c>
      <c r="M3867" t="n">
        <v>0</v>
      </c>
      <c r="N3867" t="n">
        <v>0</v>
      </c>
      <c r="O3867" t="n">
        <v>0</v>
      </c>
      <c r="P3867" t="n">
        <v>0</v>
      </c>
      <c r="Q3867" t="n">
        <v>0</v>
      </c>
      <c r="R3867" s="2" t="inlineStr"/>
    </row>
    <row r="3868" ht="15" customHeight="1">
      <c r="A3868" t="inlineStr">
        <is>
          <t>A 17270-2025</t>
        </is>
      </c>
      <c r="B3868" s="1" t="n">
        <v>45756.5531712963</v>
      </c>
      <c r="C3868" s="1" t="n">
        <v>45962</v>
      </c>
      <c r="D3868" t="inlineStr">
        <is>
          <t>SKÅNE LÄN</t>
        </is>
      </c>
      <c r="E3868" t="inlineStr">
        <is>
          <t>ÖRKELLJUNGA</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32959-2025</t>
        </is>
      </c>
      <c r="B3869" s="1" t="n">
        <v>45839</v>
      </c>
      <c r="C3869" s="1" t="n">
        <v>45962</v>
      </c>
      <c r="D3869" t="inlineStr">
        <is>
          <t>SKÅNE LÄN</t>
        </is>
      </c>
      <c r="E3869" t="inlineStr">
        <is>
          <t>KRISTIANSTAD</t>
        </is>
      </c>
      <c r="G3869" t="n">
        <v>1.5</v>
      </c>
      <c r="H3869" t="n">
        <v>0</v>
      </c>
      <c r="I3869" t="n">
        <v>0</v>
      </c>
      <c r="J3869" t="n">
        <v>0</v>
      </c>
      <c r="K3869" t="n">
        <v>0</v>
      </c>
      <c r="L3869" t="n">
        <v>0</v>
      </c>
      <c r="M3869" t="n">
        <v>0</v>
      </c>
      <c r="N3869" t="n">
        <v>0</v>
      </c>
      <c r="O3869" t="n">
        <v>0</v>
      </c>
      <c r="P3869" t="n">
        <v>0</v>
      </c>
      <c r="Q3869" t="n">
        <v>0</v>
      </c>
      <c r="R3869" s="2" t="inlineStr"/>
    </row>
    <row r="3870" ht="15" customHeight="1">
      <c r="A3870" t="inlineStr">
        <is>
          <t>A 48952-2022</t>
        </is>
      </c>
      <c r="B3870" s="1" t="n">
        <v>44859</v>
      </c>
      <c r="C3870" s="1" t="n">
        <v>45962</v>
      </c>
      <c r="D3870" t="inlineStr">
        <is>
          <t>SKÅNE LÄN</t>
        </is>
      </c>
      <c r="E3870" t="inlineStr">
        <is>
          <t>ÖSTRA GÖINGE</t>
        </is>
      </c>
      <c r="G3870" t="n">
        <v>3.3</v>
      </c>
      <c r="H3870" t="n">
        <v>0</v>
      </c>
      <c r="I3870" t="n">
        <v>0</v>
      </c>
      <c r="J3870" t="n">
        <v>0</v>
      </c>
      <c r="K3870" t="n">
        <v>0</v>
      </c>
      <c r="L3870" t="n">
        <v>0</v>
      </c>
      <c r="M3870" t="n">
        <v>0</v>
      </c>
      <c r="N3870" t="n">
        <v>0</v>
      </c>
      <c r="O3870" t="n">
        <v>0</v>
      </c>
      <c r="P3870" t="n">
        <v>0</v>
      </c>
      <c r="Q3870" t="n">
        <v>0</v>
      </c>
      <c r="R3870" s="2" t="inlineStr"/>
    </row>
    <row r="3871" ht="15" customHeight="1">
      <c r="A3871" t="inlineStr">
        <is>
          <t>A 46147-2022</t>
        </is>
      </c>
      <c r="B3871" s="1" t="n">
        <v>44846</v>
      </c>
      <c r="C3871" s="1" t="n">
        <v>45962</v>
      </c>
      <c r="D3871" t="inlineStr">
        <is>
          <t>SKÅNE LÄN</t>
        </is>
      </c>
      <c r="E3871" t="inlineStr">
        <is>
          <t>KLIPPAN</t>
        </is>
      </c>
      <c r="G3871" t="n">
        <v>5.7</v>
      </c>
      <c r="H3871" t="n">
        <v>0</v>
      </c>
      <c r="I3871" t="n">
        <v>0</v>
      </c>
      <c r="J3871" t="n">
        <v>0</v>
      </c>
      <c r="K3871" t="n">
        <v>0</v>
      </c>
      <c r="L3871" t="n">
        <v>0</v>
      </c>
      <c r="M3871" t="n">
        <v>0</v>
      </c>
      <c r="N3871" t="n">
        <v>0</v>
      </c>
      <c r="O3871" t="n">
        <v>0</v>
      </c>
      <c r="P3871" t="n">
        <v>0</v>
      </c>
      <c r="Q3871" t="n">
        <v>0</v>
      </c>
      <c r="R3871" s="2" t="inlineStr"/>
    </row>
    <row r="3872" ht="15" customHeight="1">
      <c r="A3872" t="inlineStr">
        <is>
          <t>A 28397-2023</t>
        </is>
      </c>
      <c r="B3872" s="1" t="n">
        <v>45100</v>
      </c>
      <c r="C3872" s="1" t="n">
        <v>45962</v>
      </c>
      <c r="D3872" t="inlineStr">
        <is>
          <t>SKÅNE LÄN</t>
        </is>
      </c>
      <c r="E3872" t="inlineStr">
        <is>
          <t>OSBY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28493-2023</t>
        </is>
      </c>
      <c r="B3873" s="1" t="n">
        <v>45103.44575231482</v>
      </c>
      <c r="C3873" s="1" t="n">
        <v>45962</v>
      </c>
      <c r="D3873" t="inlineStr">
        <is>
          <t>SKÅNE LÄN</t>
        </is>
      </c>
      <c r="E3873" t="inlineStr">
        <is>
          <t>HÖRBY</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4382-2023</t>
        </is>
      </c>
      <c r="B3874" s="1" t="n">
        <v>44955.61152777778</v>
      </c>
      <c r="C3874" s="1" t="n">
        <v>45962</v>
      </c>
      <c r="D3874" t="inlineStr">
        <is>
          <t>SKÅNE LÄN</t>
        </is>
      </c>
      <c r="E3874" t="inlineStr">
        <is>
          <t>HÄSSLEHOLM</t>
        </is>
      </c>
      <c r="G3874" t="n">
        <v>0.3</v>
      </c>
      <c r="H3874" t="n">
        <v>0</v>
      </c>
      <c r="I3874" t="n">
        <v>0</v>
      </c>
      <c r="J3874" t="n">
        <v>0</v>
      </c>
      <c r="K3874" t="n">
        <v>0</v>
      </c>
      <c r="L3874" t="n">
        <v>0</v>
      </c>
      <c r="M3874" t="n">
        <v>0</v>
      </c>
      <c r="N3874" t="n">
        <v>0</v>
      </c>
      <c r="O3874" t="n">
        <v>0</v>
      </c>
      <c r="P3874" t="n">
        <v>0</v>
      </c>
      <c r="Q3874" t="n">
        <v>0</v>
      </c>
      <c r="R3874" s="2" t="inlineStr"/>
    </row>
    <row r="3875" ht="15" customHeight="1">
      <c r="A3875" t="inlineStr">
        <is>
          <t>A 34934-2023</t>
        </is>
      </c>
      <c r="B3875" s="1" t="n">
        <v>45141</v>
      </c>
      <c r="C3875" s="1" t="n">
        <v>45962</v>
      </c>
      <c r="D3875" t="inlineStr">
        <is>
          <t>SKÅNE LÄN</t>
        </is>
      </c>
      <c r="E3875" t="inlineStr">
        <is>
          <t>OSBY</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5138-2023</t>
        </is>
      </c>
      <c r="B3876" s="1" t="n">
        <v>44958.88269675926</v>
      </c>
      <c r="C3876" s="1" t="n">
        <v>45962</v>
      </c>
      <c r="D3876" t="inlineStr">
        <is>
          <t>SKÅNE LÄN</t>
        </is>
      </c>
      <c r="E3876" t="inlineStr">
        <is>
          <t>ÖSTRA GÖINGE</t>
        </is>
      </c>
      <c r="G3876" t="n">
        <v>5.2</v>
      </c>
      <c r="H3876" t="n">
        <v>0</v>
      </c>
      <c r="I3876" t="n">
        <v>0</v>
      </c>
      <c r="J3876" t="n">
        <v>0</v>
      </c>
      <c r="K3876" t="n">
        <v>0</v>
      </c>
      <c r="L3876" t="n">
        <v>0</v>
      </c>
      <c r="M3876" t="n">
        <v>0</v>
      </c>
      <c r="N3876" t="n">
        <v>0</v>
      </c>
      <c r="O3876" t="n">
        <v>0</v>
      </c>
      <c r="P3876" t="n">
        <v>0</v>
      </c>
      <c r="Q3876" t="n">
        <v>0</v>
      </c>
      <c r="R3876" s="2" t="inlineStr"/>
    </row>
    <row r="3877" ht="15" customHeight="1">
      <c r="A3877" t="inlineStr">
        <is>
          <t>A 16131-2023</t>
        </is>
      </c>
      <c r="B3877" s="1" t="n">
        <v>45027</v>
      </c>
      <c r="C3877" s="1" t="n">
        <v>45962</v>
      </c>
      <c r="D3877" t="inlineStr">
        <is>
          <t>SKÅNE LÄN</t>
        </is>
      </c>
      <c r="E3877" t="inlineStr">
        <is>
          <t>KRISTIANSTAD</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49071-2022</t>
        </is>
      </c>
      <c r="B3878" s="1" t="n">
        <v>44860</v>
      </c>
      <c r="C3878" s="1" t="n">
        <v>45962</v>
      </c>
      <c r="D3878" t="inlineStr">
        <is>
          <t>SKÅNE LÄN</t>
        </is>
      </c>
      <c r="E3878" t="inlineStr">
        <is>
          <t>HÖRBY</t>
        </is>
      </c>
      <c r="G3878" t="n">
        <v>5</v>
      </c>
      <c r="H3878" t="n">
        <v>0</v>
      </c>
      <c r="I3878" t="n">
        <v>0</v>
      </c>
      <c r="J3878" t="n">
        <v>0</v>
      </c>
      <c r="K3878" t="n">
        <v>0</v>
      </c>
      <c r="L3878" t="n">
        <v>0</v>
      </c>
      <c r="M3878" t="n">
        <v>0</v>
      </c>
      <c r="N3878" t="n">
        <v>0</v>
      </c>
      <c r="O3878" t="n">
        <v>0</v>
      </c>
      <c r="P3878" t="n">
        <v>0</v>
      </c>
      <c r="Q3878" t="n">
        <v>0</v>
      </c>
      <c r="R3878" s="2" t="inlineStr"/>
    </row>
    <row r="3879" ht="15" customHeight="1">
      <c r="A3879" t="inlineStr">
        <is>
          <t>A 44725-2022</t>
        </is>
      </c>
      <c r="B3879" s="1" t="n">
        <v>44840</v>
      </c>
      <c r="C3879" s="1" t="n">
        <v>45962</v>
      </c>
      <c r="D3879" t="inlineStr">
        <is>
          <t>SKÅNE LÄN</t>
        </is>
      </c>
      <c r="E3879" t="inlineStr">
        <is>
          <t>ÖSTRA GÖINGE</t>
        </is>
      </c>
      <c r="G3879" t="n">
        <v>8.300000000000001</v>
      </c>
      <c r="H3879" t="n">
        <v>0</v>
      </c>
      <c r="I3879" t="n">
        <v>0</v>
      </c>
      <c r="J3879" t="n">
        <v>0</v>
      </c>
      <c r="K3879" t="n">
        <v>0</v>
      </c>
      <c r="L3879" t="n">
        <v>0</v>
      </c>
      <c r="M3879" t="n">
        <v>0</v>
      </c>
      <c r="N3879" t="n">
        <v>0</v>
      </c>
      <c r="O3879" t="n">
        <v>0</v>
      </c>
      <c r="P3879" t="n">
        <v>0</v>
      </c>
      <c r="Q3879" t="n">
        <v>0</v>
      </c>
      <c r="R3879" s="2" t="inlineStr"/>
    </row>
    <row r="3880" ht="15" customHeight="1">
      <c r="A3880" t="inlineStr">
        <is>
          <t>A 13109-2022</t>
        </is>
      </c>
      <c r="B3880" s="1" t="n">
        <v>44644.29711805555</v>
      </c>
      <c r="C3880" s="1" t="n">
        <v>45962</v>
      </c>
      <c r="D3880" t="inlineStr">
        <is>
          <t>SKÅNE LÄN</t>
        </is>
      </c>
      <c r="E3880" t="inlineStr">
        <is>
          <t>OSBY</t>
        </is>
      </c>
      <c r="G3880" t="n">
        <v>0.8</v>
      </c>
      <c r="H3880" t="n">
        <v>0</v>
      </c>
      <c r="I3880" t="n">
        <v>0</v>
      </c>
      <c r="J3880" t="n">
        <v>0</v>
      </c>
      <c r="K3880" t="n">
        <v>0</v>
      </c>
      <c r="L3880" t="n">
        <v>0</v>
      </c>
      <c r="M3880" t="n">
        <v>0</v>
      </c>
      <c r="N3880" t="n">
        <v>0</v>
      </c>
      <c r="O3880" t="n">
        <v>0</v>
      </c>
      <c r="P3880" t="n">
        <v>0</v>
      </c>
      <c r="Q3880" t="n">
        <v>0</v>
      </c>
      <c r="R3880" s="2" t="inlineStr"/>
    </row>
    <row r="3881" ht="15" customHeight="1">
      <c r="A3881" t="inlineStr">
        <is>
          <t>A 25763-2024</t>
        </is>
      </c>
      <c r="B3881" s="1" t="n">
        <v>45465.77428240741</v>
      </c>
      <c r="C3881" s="1" t="n">
        <v>45962</v>
      </c>
      <c r="D3881" t="inlineStr">
        <is>
          <t>SKÅNE LÄN</t>
        </is>
      </c>
      <c r="E3881" t="inlineStr">
        <is>
          <t>KRISTIANSTAD</t>
        </is>
      </c>
      <c r="G3881" t="n">
        <v>3.5</v>
      </c>
      <c r="H3881" t="n">
        <v>0</v>
      </c>
      <c r="I3881" t="n">
        <v>0</v>
      </c>
      <c r="J3881" t="n">
        <v>0</v>
      </c>
      <c r="K3881" t="n">
        <v>0</v>
      </c>
      <c r="L3881" t="n">
        <v>0</v>
      </c>
      <c r="M3881" t="n">
        <v>0</v>
      </c>
      <c r="N3881" t="n">
        <v>0</v>
      </c>
      <c r="O3881" t="n">
        <v>0</v>
      </c>
      <c r="P3881" t="n">
        <v>0</v>
      </c>
      <c r="Q3881" t="n">
        <v>0</v>
      </c>
      <c r="R3881" s="2" t="inlineStr"/>
    </row>
    <row r="3882" ht="15" customHeight="1">
      <c r="A3882" t="inlineStr">
        <is>
          <t>A 15234-2025</t>
        </is>
      </c>
      <c r="B3882" s="1" t="n">
        <v>45744.60379629629</v>
      </c>
      <c r="C3882" s="1" t="n">
        <v>45962</v>
      </c>
      <c r="D3882" t="inlineStr">
        <is>
          <t>SKÅNE LÄN</t>
        </is>
      </c>
      <c r="E3882" t="inlineStr">
        <is>
          <t>OSBY</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32459-2025</t>
        </is>
      </c>
      <c r="B3883" s="1" t="n">
        <v>45838.41444444445</v>
      </c>
      <c r="C3883" s="1" t="n">
        <v>45962</v>
      </c>
      <c r="D3883" t="inlineStr">
        <is>
          <t>SKÅNE LÄN</t>
        </is>
      </c>
      <c r="E3883" t="inlineStr">
        <is>
          <t>HÖRBY</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50607-2023</t>
        </is>
      </c>
      <c r="B3884" s="1" t="n">
        <v>45210</v>
      </c>
      <c r="C3884" s="1" t="n">
        <v>45962</v>
      </c>
      <c r="D3884" t="inlineStr">
        <is>
          <t>SKÅNE LÄN</t>
        </is>
      </c>
      <c r="E3884" t="inlineStr">
        <is>
          <t>HÄSSLEHOLM</t>
        </is>
      </c>
      <c r="G3884" t="n">
        <v>1.8</v>
      </c>
      <c r="H3884" t="n">
        <v>0</v>
      </c>
      <c r="I3884" t="n">
        <v>0</v>
      </c>
      <c r="J3884" t="n">
        <v>0</v>
      </c>
      <c r="K3884" t="n">
        <v>0</v>
      </c>
      <c r="L3884" t="n">
        <v>0</v>
      </c>
      <c r="M3884" t="n">
        <v>0</v>
      </c>
      <c r="N3884" t="n">
        <v>0</v>
      </c>
      <c r="O3884" t="n">
        <v>0</v>
      </c>
      <c r="P3884" t="n">
        <v>0</v>
      </c>
      <c r="Q3884" t="n">
        <v>0</v>
      </c>
      <c r="R3884" s="2" t="inlineStr"/>
    </row>
    <row r="3885" ht="15" customHeight="1">
      <c r="A3885" t="inlineStr">
        <is>
          <t>A 28221-2023</t>
        </is>
      </c>
      <c r="B3885" s="1" t="n">
        <v>45099</v>
      </c>
      <c r="C3885" s="1" t="n">
        <v>45962</v>
      </c>
      <c r="D3885" t="inlineStr">
        <is>
          <t>SKÅNE LÄN</t>
        </is>
      </c>
      <c r="E3885" t="inlineStr">
        <is>
          <t>ÖRKELLJUNGA</t>
        </is>
      </c>
      <c r="G3885" t="n">
        <v>6.7</v>
      </c>
      <c r="H3885" t="n">
        <v>0</v>
      </c>
      <c r="I3885" t="n">
        <v>0</v>
      </c>
      <c r="J3885" t="n">
        <v>0</v>
      </c>
      <c r="K3885" t="n">
        <v>0</v>
      </c>
      <c r="L3885" t="n">
        <v>0</v>
      </c>
      <c r="M3885" t="n">
        <v>0</v>
      </c>
      <c r="N3885" t="n">
        <v>0</v>
      </c>
      <c r="O3885" t="n">
        <v>0</v>
      </c>
      <c r="P3885" t="n">
        <v>0</v>
      </c>
      <c r="Q3885" t="n">
        <v>0</v>
      </c>
      <c r="R3885" s="2" t="inlineStr"/>
    </row>
    <row r="3886" ht="15" customHeight="1">
      <c r="A3886" t="inlineStr">
        <is>
          <t>A 30092-2023</t>
        </is>
      </c>
      <c r="B3886" s="1" t="n">
        <v>45110</v>
      </c>
      <c r="C3886" s="1" t="n">
        <v>45962</v>
      </c>
      <c r="D3886" t="inlineStr">
        <is>
          <t>SKÅNE LÄN</t>
        </is>
      </c>
      <c r="E3886" t="inlineStr">
        <is>
          <t>KRISTIANSTAD</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32704-2025</t>
        </is>
      </c>
      <c r="B3887" s="1" t="n">
        <v>45839</v>
      </c>
      <c r="C3887" s="1" t="n">
        <v>45962</v>
      </c>
      <c r="D3887" t="inlineStr">
        <is>
          <t>SKÅNE LÄN</t>
        </is>
      </c>
      <c r="E3887" t="inlineStr">
        <is>
          <t>ÖRKELLJUNGA</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38148-2022</t>
        </is>
      </c>
      <c r="B3888" s="1" t="n">
        <v>44811</v>
      </c>
      <c r="C3888" s="1" t="n">
        <v>45962</v>
      </c>
      <c r="D3888" t="inlineStr">
        <is>
          <t>SKÅNE LÄN</t>
        </is>
      </c>
      <c r="E3888" t="inlineStr">
        <is>
          <t>HÄSSLEHOLM</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38156-2022</t>
        </is>
      </c>
      <c r="B3889" s="1" t="n">
        <v>44812.37135416667</v>
      </c>
      <c r="C3889" s="1" t="n">
        <v>45962</v>
      </c>
      <c r="D3889" t="inlineStr">
        <is>
          <t>SKÅNE LÄN</t>
        </is>
      </c>
      <c r="E3889" t="inlineStr">
        <is>
          <t>KLIPPAN</t>
        </is>
      </c>
      <c r="G3889" t="n">
        <v>0</v>
      </c>
      <c r="H3889" t="n">
        <v>0</v>
      </c>
      <c r="I3889" t="n">
        <v>0</v>
      </c>
      <c r="J3889" t="n">
        <v>0</v>
      </c>
      <c r="K3889" t="n">
        <v>0</v>
      </c>
      <c r="L3889" t="n">
        <v>0</v>
      </c>
      <c r="M3889" t="n">
        <v>0</v>
      </c>
      <c r="N3889" t="n">
        <v>0</v>
      </c>
      <c r="O3889" t="n">
        <v>0</v>
      </c>
      <c r="P3889" t="n">
        <v>0</v>
      </c>
      <c r="Q3889" t="n">
        <v>0</v>
      </c>
      <c r="R3889" s="2" t="inlineStr"/>
    </row>
    <row r="3890" ht="15" customHeight="1">
      <c r="A3890" t="inlineStr">
        <is>
          <t>A 2981-2024</t>
        </is>
      </c>
      <c r="B3890" s="1" t="n">
        <v>45315</v>
      </c>
      <c r="C3890" s="1" t="n">
        <v>45962</v>
      </c>
      <c r="D3890" t="inlineStr">
        <is>
          <t>SKÅNE LÄN</t>
        </is>
      </c>
      <c r="E3890" t="inlineStr">
        <is>
          <t>HÖRBY</t>
        </is>
      </c>
      <c r="F3890" t="inlineStr">
        <is>
          <t>Kyrkan</t>
        </is>
      </c>
      <c r="G3890" t="n">
        <v>6.4</v>
      </c>
      <c r="H3890" t="n">
        <v>0</v>
      </c>
      <c r="I3890" t="n">
        <v>0</v>
      </c>
      <c r="J3890" t="n">
        <v>0</v>
      </c>
      <c r="K3890" t="n">
        <v>0</v>
      </c>
      <c r="L3890" t="n">
        <v>0</v>
      </c>
      <c r="M3890" t="n">
        <v>0</v>
      </c>
      <c r="N3890" t="n">
        <v>0</v>
      </c>
      <c r="O3890" t="n">
        <v>0</v>
      </c>
      <c r="P3890" t="n">
        <v>0</v>
      </c>
      <c r="Q3890" t="n">
        <v>0</v>
      </c>
      <c r="R3890" s="2" t="inlineStr"/>
    </row>
    <row r="3891" ht="15" customHeight="1">
      <c r="A3891" t="inlineStr">
        <is>
          <t>A 35022-2023</t>
        </is>
      </c>
      <c r="B3891" s="1" t="n">
        <v>45144</v>
      </c>
      <c r="C3891" s="1" t="n">
        <v>45962</v>
      </c>
      <c r="D3891" t="inlineStr">
        <is>
          <t>SKÅNE LÄN</t>
        </is>
      </c>
      <c r="E3891" t="inlineStr">
        <is>
          <t>KRISTIANSTAD</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35023-2023</t>
        </is>
      </c>
      <c r="B3892" s="1" t="n">
        <v>45144</v>
      </c>
      <c r="C3892" s="1" t="n">
        <v>45962</v>
      </c>
      <c r="D3892" t="inlineStr">
        <is>
          <t>SKÅNE LÄN</t>
        </is>
      </c>
      <c r="E3892" t="inlineStr">
        <is>
          <t>KRISTIANSTAD</t>
        </is>
      </c>
      <c r="F3892" t="inlineStr">
        <is>
          <t>Övriga Aktiebolag</t>
        </is>
      </c>
      <c r="G3892" t="n">
        <v>15</v>
      </c>
      <c r="H3892" t="n">
        <v>0</v>
      </c>
      <c r="I3892" t="n">
        <v>0</v>
      </c>
      <c r="J3892" t="n">
        <v>0</v>
      </c>
      <c r="K3892" t="n">
        <v>0</v>
      </c>
      <c r="L3892" t="n">
        <v>0</v>
      </c>
      <c r="M3892" t="n">
        <v>0</v>
      </c>
      <c r="N3892" t="n">
        <v>0</v>
      </c>
      <c r="O3892" t="n">
        <v>0</v>
      </c>
      <c r="P3892" t="n">
        <v>0</v>
      </c>
      <c r="Q3892" t="n">
        <v>0</v>
      </c>
      <c r="R3892" s="2" t="inlineStr"/>
    </row>
    <row r="3893" ht="15" customHeight="1">
      <c r="A3893" t="inlineStr">
        <is>
          <t>A 13122-2024</t>
        </is>
      </c>
      <c r="B3893" s="1" t="n">
        <v>45385</v>
      </c>
      <c r="C3893" s="1" t="n">
        <v>45962</v>
      </c>
      <c r="D3893" t="inlineStr">
        <is>
          <t>SKÅNE LÄN</t>
        </is>
      </c>
      <c r="E3893" t="inlineStr">
        <is>
          <t>KRISTIANSTAD</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20099-2025</t>
        </is>
      </c>
      <c r="B3894" s="1" t="n">
        <v>45772.46916666667</v>
      </c>
      <c r="C3894" s="1" t="n">
        <v>45962</v>
      </c>
      <c r="D3894" t="inlineStr">
        <is>
          <t>SKÅNE LÄN</t>
        </is>
      </c>
      <c r="E3894" t="inlineStr">
        <is>
          <t>ÖRKELLJUNGA</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18516-2021</t>
        </is>
      </c>
      <c r="B3895" s="1" t="n">
        <v>44305</v>
      </c>
      <c r="C3895" s="1" t="n">
        <v>45962</v>
      </c>
      <c r="D3895" t="inlineStr">
        <is>
          <t>SKÅNE LÄN</t>
        </is>
      </c>
      <c r="E3895" t="inlineStr">
        <is>
          <t>KLIPPAN</t>
        </is>
      </c>
      <c r="F3895" t="inlineStr">
        <is>
          <t>Övriga Aktiebolag</t>
        </is>
      </c>
      <c r="G3895" t="n">
        <v>4.1</v>
      </c>
      <c r="H3895" t="n">
        <v>0</v>
      </c>
      <c r="I3895" t="n">
        <v>0</v>
      </c>
      <c r="J3895" t="n">
        <v>0</v>
      </c>
      <c r="K3895" t="n">
        <v>0</v>
      </c>
      <c r="L3895" t="n">
        <v>0</v>
      </c>
      <c r="M3895" t="n">
        <v>0</v>
      </c>
      <c r="N3895" t="n">
        <v>0</v>
      </c>
      <c r="O3895" t="n">
        <v>0</v>
      </c>
      <c r="P3895" t="n">
        <v>0</v>
      </c>
      <c r="Q3895" t="n">
        <v>0</v>
      </c>
      <c r="R3895" s="2" t="inlineStr"/>
    </row>
    <row r="3896" ht="15" customHeight="1">
      <c r="A3896" t="inlineStr">
        <is>
          <t>A 52608-2023</t>
        </is>
      </c>
      <c r="B3896" s="1" t="n">
        <v>45219</v>
      </c>
      <c r="C3896" s="1" t="n">
        <v>45962</v>
      </c>
      <c r="D3896" t="inlineStr">
        <is>
          <t>SKÅNE LÄN</t>
        </is>
      </c>
      <c r="E3896" t="inlineStr">
        <is>
          <t>HÄSSLEHOLM</t>
        </is>
      </c>
      <c r="F3896" t="inlineStr">
        <is>
          <t>Övriga Aktiebolag</t>
        </is>
      </c>
      <c r="G3896" t="n">
        <v>2.1</v>
      </c>
      <c r="H3896" t="n">
        <v>0</v>
      </c>
      <c r="I3896" t="n">
        <v>0</v>
      </c>
      <c r="J3896" t="n">
        <v>0</v>
      </c>
      <c r="K3896" t="n">
        <v>0</v>
      </c>
      <c r="L3896" t="n">
        <v>0</v>
      </c>
      <c r="M3896" t="n">
        <v>0</v>
      </c>
      <c r="N3896" t="n">
        <v>0</v>
      </c>
      <c r="O3896" t="n">
        <v>0</v>
      </c>
      <c r="P3896" t="n">
        <v>0</v>
      </c>
      <c r="Q3896" t="n">
        <v>0</v>
      </c>
      <c r="R3896" s="2" t="inlineStr"/>
    </row>
    <row r="3897" ht="15" customHeight="1">
      <c r="A3897" t="inlineStr">
        <is>
          <t>A 31944-2023</t>
        </is>
      </c>
      <c r="B3897" s="1" t="n">
        <v>45119.34895833334</v>
      </c>
      <c r="C3897" s="1" t="n">
        <v>45962</v>
      </c>
      <c r="D3897" t="inlineStr">
        <is>
          <t>SKÅNE LÄN</t>
        </is>
      </c>
      <c r="E3897" t="inlineStr">
        <is>
          <t>HÄSSLEHOLM</t>
        </is>
      </c>
      <c r="G3897" t="n">
        <v>0.8</v>
      </c>
      <c r="H3897" t="n">
        <v>0</v>
      </c>
      <c r="I3897" t="n">
        <v>0</v>
      </c>
      <c r="J3897" t="n">
        <v>0</v>
      </c>
      <c r="K3897" t="n">
        <v>0</v>
      </c>
      <c r="L3897" t="n">
        <v>0</v>
      </c>
      <c r="M3897" t="n">
        <v>0</v>
      </c>
      <c r="N3897" t="n">
        <v>0</v>
      </c>
      <c r="O3897" t="n">
        <v>0</v>
      </c>
      <c r="P3897" t="n">
        <v>0</v>
      </c>
      <c r="Q3897" t="n">
        <v>0</v>
      </c>
      <c r="R3897" s="2" t="inlineStr"/>
    </row>
    <row r="3898" ht="15" customHeight="1">
      <c r="A3898" t="inlineStr">
        <is>
          <t>A 11605-2023</t>
        </is>
      </c>
      <c r="B3898" s="1" t="n">
        <v>44994.401875</v>
      </c>
      <c r="C3898" s="1" t="n">
        <v>45962</v>
      </c>
      <c r="D3898" t="inlineStr">
        <is>
          <t>SKÅNE LÄN</t>
        </is>
      </c>
      <c r="E3898" t="inlineStr">
        <is>
          <t>ÖRKELLJUNGA</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52617-2023</t>
        </is>
      </c>
      <c r="B3899" s="1" t="n">
        <v>45219</v>
      </c>
      <c r="C3899" s="1" t="n">
        <v>45962</v>
      </c>
      <c r="D3899" t="inlineStr">
        <is>
          <t>SKÅNE LÄN</t>
        </is>
      </c>
      <c r="E3899" t="inlineStr">
        <is>
          <t>PERSTORP</t>
        </is>
      </c>
      <c r="F3899" t="inlineStr">
        <is>
          <t>Övriga Aktiebolag</t>
        </is>
      </c>
      <c r="G3899" t="n">
        <v>2</v>
      </c>
      <c r="H3899" t="n">
        <v>0</v>
      </c>
      <c r="I3899" t="n">
        <v>0</v>
      </c>
      <c r="J3899" t="n">
        <v>0</v>
      </c>
      <c r="K3899" t="n">
        <v>0</v>
      </c>
      <c r="L3899" t="n">
        <v>0</v>
      </c>
      <c r="M3899" t="n">
        <v>0</v>
      </c>
      <c r="N3899" t="n">
        <v>0</v>
      </c>
      <c r="O3899" t="n">
        <v>0</v>
      </c>
      <c r="P3899" t="n">
        <v>0</v>
      </c>
      <c r="Q3899" t="n">
        <v>0</v>
      </c>
      <c r="R3899" s="2" t="inlineStr"/>
    </row>
    <row r="3900" ht="15" customHeight="1">
      <c r="A3900" t="inlineStr">
        <is>
          <t>A 14837-2023</t>
        </is>
      </c>
      <c r="B3900" s="1" t="n">
        <v>45014</v>
      </c>
      <c r="C3900" s="1" t="n">
        <v>45962</v>
      </c>
      <c r="D3900" t="inlineStr">
        <is>
          <t>SKÅNE LÄN</t>
        </is>
      </c>
      <c r="E3900" t="inlineStr">
        <is>
          <t>KRISTIANSTAD</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32971-2025</t>
        </is>
      </c>
      <c r="B3901" s="1" t="n">
        <v>45839.73775462963</v>
      </c>
      <c r="C3901" s="1" t="n">
        <v>45962</v>
      </c>
      <c r="D3901" t="inlineStr">
        <is>
          <t>SKÅNE LÄN</t>
        </is>
      </c>
      <c r="E3901" t="inlineStr">
        <is>
          <t>KRISTIANSTAD</t>
        </is>
      </c>
      <c r="G3901" t="n">
        <v>4.3</v>
      </c>
      <c r="H3901" t="n">
        <v>0</v>
      </c>
      <c r="I3901" t="n">
        <v>0</v>
      </c>
      <c r="J3901" t="n">
        <v>0</v>
      </c>
      <c r="K3901" t="n">
        <v>0</v>
      </c>
      <c r="L3901" t="n">
        <v>0</v>
      </c>
      <c r="M3901" t="n">
        <v>0</v>
      </c>
      <c r="N3901" t="n">
        <v>0</v>
      </c>
      <c r="O3901" t="n">
        <v>0</v>
      </c>
      <c r="P3901" t="n">
        <v>0</v>
      </c>
      <c r="Q3901" t="n">
        <v>0</v>
      </c>
      <c r="R3901" s="2" t="inlineStr"/>
    </row>
    <row r="3902" ht="15" customHeight="1">
      <c r="A3902" t="inlineStr">
        <is>
          <t>A 6314-2022</t>
        </is>
      </c>
      <c r="B3902" s="1" t="n">
        <v>44600</v>
      </c>
      <c r="C3902" s="1" t="n">
        <v>45962</v>
      </c>
      <c r="D3902" t="inlineStr">
        <is>
          <t>SKÅNE LÄN</t>
        </is>
      </c>
      <c r="E3902" t="inlineStr">
        <is>
          <t>TRELLEBORG</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33251-2024</t>
        </is>
      </c>
      <c r="B3903" s="1" t="n">
        <v>45518</v>
      </c>
      <c r="C3903" s="1" t="n">
        <v>45962</v>
      </c>
      <c r="D3903" t="inlineStr">
        <is>
          <t>SKÅNE LÄN</t>
        </is>
      </c>
      <c r="E3903" t="inlineStr">
        <is>
          <t>OSBY</t>
        </is>
      </c>
      <c r="F3903" t="inlineStr">
        <is>
          <t>Naturvårdsverket</t>
        </is>
      </c>
      <c r="G3903" t="n">
        <v>6.4</v>
      </c>
      <c r="H3903" t="n">
        <v>0</v>
      </c>
      <c r="I3903" t="n">
        <v>0</v>
      </c>
      <c r="J3903" t="n">
        <v>0</v>
      </c>
      <c r="K3903" t="n">
        <v>0</v>
      </c>
      <c r="L3903" t="n">
        <v>0</v>
      </c>
      <c r="M3903" t="n">
        <v>0</v>
      </c>
      <c r="N3903" t="n">
        <v>0</v>
      </c>
      <c r="O3903" t="n">
        <v>0</v>
      </c>
      <c r="P3903" t="n">
        <v>0</v>
      </c>
      <c r="Q3903" t="n">
        <v>0</v>
      </c>
      <c r="R3903" s="2" t="inlineStr"/>
    </row>
    <row r="3904" ht="15" customHeight="1">
      <c r="A3904" t="inlineStr">
        <is>
          <t>A 1706-2025</t>
        </is>
      </c>
      <c r="B3904" s="1" t="n">
        <v>45670</v>
      </c>
      <c r="C3904" s="1" t="n">
        <v>45962</v>
      </c>
      <c r="D3904" t="inlineStr">
        <is>
          <t>SKÅNE LÄN</t>
        </is>
      </c>
      <c r="E3904" t="inlineStr">
        <is>
          <t>HÄSSLEHOLM</t>
        </is>
      </c>
      <c r="G3904" t="n">
        <v>5</v>
      </c>
      <c r="H3904" t="n">
        <v>0</v>
      </c>
      <c r="I3904" t="n">
        <v>0</v>
      </c>
      <c r="J3904" t="n">
        <v>0</v>
      </c>
      <c r="K3904" t="n">
        <v>0</v>
      </c>
      <c r="L3904" t="n">
        <v>0</v>
      </c>
      <c r="M3904" t="n">
        <v>0</v>
      </c>
      <c r="N3904" t="n">
        <v>0</v>
      </c>
      <c r="O3904" t="n">
        <v>0</v>
      </c>
      <c r="P3904" t="n">
        <v>0</v>
      </c>
      <c r="Q3904" t="n">
        <v>0</v>
      </c>
      <c r="R3904" s="2" t="inlineStr"/>
    </row>
    <row r="3905" ht="15" customHeight="1">
      <c r="A3905" t="inlineStr">
        <is>
          <t>A 50896-2021</t>
        </is>
      </c>
      <c r="B3905" s="1" t="n">
        <v>44460</v>
      </c>
      <c r="C3905" s="1" t="n">
        <v>45962</v>
      </c>
      <c r="D3905" t="inlineStr">
        <is>
          <t>SKÅNE LÄN</t>
        </is>
      </c>
      <c r="E3905" t="inlineStr">
        <is>
          <t>ÖSTRA GÖINGE</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50927-2021</t>
        </is>
      </c>
      <c r="B3906" s="1" t="n">
        <v>44459</v>
      </c>
      <c r="C3906" s="1" t="n">
        <v>45962</v>
      </c>
      <c r="D3906" t="inlineStr">
        <is>
          <t>SKÅNE LÄN</t>
        </is>
      </c>
      <c r="E3906" t="inlineStr">
        <is>
          <t>ÖSTRA GÖINGE</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32518-2025</t>
        </is>
      </c>
      <c r="B3907" s="1" t="n">
        <v>45838.47916666666</v>
      </c>
      <c r="C3907" s="1" t="n">
        <v>45962</v>
      </c>
      <c r="D3907" t="inlineStr">
        <is>
          <t>SKÅNE LÄN</t>
        </is>
      </c>
      <c r="E3907" t="inlineStr">
        <is>
          <t>OSBY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32520-2025</t>
        </is>
      </c>
      <c r="B3908" s="1" t="n">
        <v>45838.48385416667</v>
      </c>
      <c r="C3908" s="1" t="n">
        <v>45962</v>
      </c>
      <c r="D3908" t="inlineStr">
        <is>
          <t>SKÅNE LÄN</t>
        </is>
      </c>
      <c r="E3908" t="inlineStr">
        <is>
          <t>OSBY</t>
        </is>
      </c>
      <c r="G3908" t="n">
        <v>1.2</v>
      </c>
      <c r="H3908" t="n">
        <v>0</v>
      </c>
      <c r="I3908" t="n">
        <v>0</v>
      </c>
      <c r="J3908" t="n">
        <v>0</v>
      </c>
      <c r="K3908" t="n">
        <v>0</v>
      </c>
      <c r="L3908" t="n">
        <v>0</v>
      </c>
      <c r="M3908" t="n">
        <v>0</v>
      </c>
      <c r="N3908" t="n">
        <v>0</v>
      </c>
      <c r="O3908" t="n">
        <v>0</v>
      </c>
      <c r="P3908" t="n">
        <v>0</v>
      </c>
      <c r="Q3908" t="n">
        <v>0</v>
      </c>
      <c r="R3908" s="2" t="inlineStr"/>
    </row>
    <row r="3909" ht="15" customHeight="1">
      <c r="A3909" t="inlineStr">
        <is>
          <t>A 5374-2024</t>
        </is>
      </c>
      <c r="B3909" s="1" t="n">
        <v>45331.48893518518</v>
      </c>
      <c r="C3909" s="1" t="n">
        <v>45962</v>
      </c>
      <c r="D3909" t="inlineStr">
        <is>
          <t>SKÅNE LÄN</t>
        </is>
      </c>
      <c r="E3909" t="inlineStr">
        <is>
          <t>ÖSTRA GÖINGE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5400-2024</t>
        </is>
      </c>
      <c r="B3910" s="1" t="n">
        <v>45331</v>
      </c>
      <c r="C3910" s="1" t="n">
        <v>45962</v>
      </c>
      <c r="D3910" t="inlineStr">
        <is>
          <t>SKÅNE LÄN</t>
        </is>
      </c>
      <c r="E3910" t="inlineStr">
        <is>
          <t>KRISTIANSTAD</t>
        </is>
      </c>
      <c r="G3910" t="n">
        <v>2.5</v>
      </c>
      <c r="H3910" t="n">
        <v>0</v>
      </c>
      <c r="I3910" t="n">
        <v>0</v>
      </c>
      <c r="J3910" t="n">
        <v>0</v>
      </c>
      <c r="K3910" t="n">
        <v>0</v>
      </c>
      <c r="L3910" t="n">
        <v>0</v>
      </c>
      <c r="M3910" t="n">
        <v>0</v>
      </c>
      <c r="N3910" t="n">
        <v>0</v>
      </c>
      <c r="O3910" t="n">
        <v>0</v>
      </c>
      <c r="P3910" t="n">
        <v>0</v>
      </c>
      <c r="Q3910" t="n">
        <v>0</v>
      </c>
      <c r="R3910" s="2" t="inlineStr"/>
    </row>
    <row r="3911" ht="15" customHeight="1">
      <c r="A3911" t="inlineStr">
        <is>
          <t>A 34306-2024</t>
        </is>
      </c>
      <c r="B3911" s="1" t="n">
        <v>45524</v>
      </c>
      <c r="C3911" s="1" t="n">
        <v>45962</v>
      </c>
      <c r="D3911" t="inlineStr">
        <is>
          <t>SKÅNE LÄN</t>
        </is>
      </c>
      <c r="E3911" t="inlineStr">
        <is>
          <t>OSBY</t>
        </is>
      </c>
      <c r="G3911" t="n">
        <v>3.4</v>
      </c>
      <c r="H3911" t="n">
        <v>0</v>
      </c>
      <c r="I3911" t="n">
        <v>0</v>
      </c>
      <c r="J3911" t="n">
        <v>0</v>
      </c>
      <c r="K3911" t="n">
        <v>0</v>
      </c>
      <c r="L3911" t="n">
        <v>0</v>
      </c>
      <c r="M3911" t="n">
        <v>0</v>
      </c>
      <c r="N3911" t="n">
        <v>0</v>
      </c>
      <c r="O3911" t="n">
        <v>0</v>
      </c>
      <c r="P3911" t="n">
        <v>0</v>
      </c>
      <c r="Q3911" t="n">
        <v>0</v>
      </c>
      <c r="R3911" s="2" t="inlineStr"/>
    </row>
    <row r="3912" ht="15" customHeight="1">
      <c r="A3912" t="inlineStr">
        <is>
          <t>A 6154-2024</t>
        </is>
      </c>
      <c r="B3912" s="1" t="n">
        <v>45337</v>
      </c>
      <c r="C3912" s="1" t="n">
        <v>45962</v>
      </c>
      <c r="D3912" t="inlineStr">
        <is>
          <t>SKÅNE LÄN</t>
        </is>
      </c>
      <c r="E3912" t="inlineStr">
        <is>
          <t>ÖSTRA GÖINGE</t>
        </is>
      </c>
      <c r="G3912" t="n">
        <v>2.1</v>
      </c>
      <c r="H3912" t="n">
        <v>0</v>
      </c>
      <c r="I3912" t="n">
        <v>0</v>
      </c>
      <c r="J3912" t="n">
        <v>0</v>
      </c>
      <c r="K3912" t="n">
        <v>0</v>
      </c>
      <c r="L3912" t="n">
        <v>0</v>
      </c>
      <c r="M3912" t="n">
        <v>0</v>
      </c>
      <c r="N3912" t="n">
        <v>0</v>
      </c>
      <c r="O3912" t="n">
        <v>0</v>
      </c>
      <c r="P3912" t="n">
        <v>0</v>
      </c>
      <c r="Q3912" t="n">
        <v>0</v>
      </c>
      <c r="R3912" s="2" t="inlineStr"/>
    </row>
    <row r="3913" ht="15" customHeight="1">
      <c r="A3913" t="inlineStr">
        <is>
          <t>A 23693-2023</t>
        </is>
      </c>
      <c r="B3913" s="1" t="n">
        <v>45077</v>
      </c>
      <c r="C3913" s="1" t="n">
        <v>45962</v>
      </c>
      <c r="D3913" t="inlineStr">
        <is>
          <t>SKÅNE LÄN</t>
        </is>
      </c>
      <c r="E3913" t="inlineStr">
        <is>
          <t>ÖRKELLJUNGA</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35037-2024</t>
        </is>
      </c>
      <c r="B3914" s="1" t="n">
        <v>45527</v>
      </c>
      <c r="C3914" s="1" t="n">
        <v>45962</v>
      </c>
      <c r="D3914" t="inlineStr">
        <is>
          <t>SKÅNE LÄN</t>
        </is>
      </c>
      <c r="E3914" t="inlineStr">
        <is>
          <t>ÖSTRA GÖINGE</t>
        </is>
      </c>
      <c r="G3914" t="n">
        <v>12.6</v>
      </c>
      <c r="H3914" t="n">
        <v>0</v>
      </c>
      <c r="I3914" t="n">
        <v>0</v>
      </c>
      <c r="J3914" t="n">
        <v>0</v>
      </c>
      <c r="K3914" t="n">
        <v>0</v>
      </c>
      <c r="L3914" t="n">
        <v>0</v>
      </c>
      <c r="M3914" t="n">
        <v>0</v>
      </c>
      <c r="N3914" t="n">
        <v>0</v>
      </c>
      <c r="O3914" t="n">
        <v>0</v>
      </c>
      <c r="P3914" t="n">
        <v>0</v>
      </c>
      <c r="Q3914" t="n">
        <v>0</v>
      </c>
      <c r="R3914" s="2" t="inlineStr"/>
    </row>
    <row r="3915" ht="15" customHeight="1">
      <c r="A3915" t="inlineStr">
        <is>
          <t>A 6259-2024</t>
        </is>
      </c>
      <c r="B3915" s="1" t="n">
        <v>45337</v>
      </c>
      <c r="C3915" s="1" t="n">
        <v>45962</v>
      </c>
      <c r="D3915" t="inlineStr">
        <is>
          <t>SKÅNE LÄN</t>
        </is>
      </c>
      <c r="E3915" t="inlineStr">
        <is>
          <t>TOMELILLA</t>
        </is>
      </c>
      <c r="G3915" t="n">
        <v>5</v>
      </c>
      <c r="H3915" t="n">
        <v>0</v>
      </c>
      <c r="I3915" t="n">
        <v>0</v>
      </c>
      <c r="J3915" t="n">
        <v>0</v>
      </c>
      <c r="K3915" t="n">
        <v>0</v>
      </c>
      <c r="L3915" t="n">
        <v>0</v>
      </c>
      <c r="M3915" t="n">
        <v>0</v>
      </c>
      <c r="N3915" t="n">
        <v>0</v>
      </c>
      <c r="O3915" t="n">
        <v>0</v>
      </c>
      <c r="P3915" t="n">
        <v>0</v>
      </c>
      <c r="Q3915" t="n">
        <v>0</v>
      </c>
      <c r="R3915" s="2" t="inlineStr"/>
    </row>
    <row r="3916" ht="15" customHeight="1">
      <c r="A3916" t="inlineStr">
        <is>
          <t>A 32585-2025</t>
        </is>
      </c>
      <c r="B3916" s="1" t="n">
        <v>45838.60021990741</v>
      </c>
      <c r="C3916" s="1" t="n">
        <v>45962</v>
      </c>
      <c r="D3916" t="inlineStr">
        <is>
          <t>SKÅNE LÄN</t>
        </is>
      </c>
      <c r="E3916" t="inlineStr">
        <is>
          <t>HÄSSLEHOLM</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47405-2022</t>
        </is>
      </c>
      <c r="B3917" s="1" t="n">
        <v>44853</v>
      </c>
      <c r="C3917" s="1" t="n">
        <v>45962</v>
      </c>
      <c r="D3917" t="inlineStr">
        <is>
          <t>SKÅNE LÄN</t>
        </is>
      </c>
      <c r="E3917" t="inlineStr">
        <is>
          <t>ÖSTRA GÖINGE</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5792-2024</t>
        </is>
      </c>
      <c r="B3918" s="1" t="n">
        <v>45335</v>
      </c>
      <c r="C3918" s="1" t="n">
        <v>45962</v>
      </c>
      <c r="D3918" t="inlineStr">
        <is>
          <t>SKÅNE LÄN</t>
        </is>
      </c>
      <c r="E3918" t="inlineStr">
        <is>
          <t>HELSINGBORG</t>
        </is>
      </c>
      <c r="G3918" t="n">
        <v>5.6</v>
      </c>
      <c r="H3918" t="n">
        <v>0</v>
      </c>
      <c r="I3918" t="n">
        <v>0</v>
      </c>
      <c r="J3918" t="n">
        <v>0</v>
      </c>
      <c r="K3918" t="n">
        <v>0</v>
      </c>
      <c r="L3918" t="n">
        <v>0</v>
      </c>
      <c r="M3918" t="n">
        <v>0</v>
      </c>
      <c r="N3918" t="n">
        <v>0</v>
      </c>
      <c r="O3918" t="n">
        <v>0</v>
      </c>
      <c r="P3918" t="n">
        <v>0</v>
      </c>
      <c r="Q3918" t="n">
        <v>0</v>
      </c>
      <c r="R3918" s="2" t="inlineStr"/>
    </row>
    <row r="3919" ht="15" customHeight="1">
      <c r="A3919" t="inlineStr">
        <is>
          <t>A 22081-2023</t>
        </is>
      </c>
      <c r="B3919" s="1" t="n">
        <v>45069</v>
      </c>
      <c r="C3919" s="1" t="n">
        <v>45962</v>
      </c>
      <c r="D3919" t="inlineStr">
        <is>
          <t>SKÅNE LÄN</t>
        </is>
      </c>
      <c r="E3919" t="inlineStr">
        <is>
          <t>ÖSTRA GÖINGE</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32592-2025</t>
        </is>
      </c>
      <c r="B3920" s="1" t="n">
        <v>45838.61020833333</v>
      </c>
      <c r="C3920" s="1" t="n">
        <v>45962</v>
      </c>
      <c r="D3920" t="inlineStr">
        <is>
          <t>SKÅNE LÄN</t>
        </is>
      </c>
      <c r="E3920" t="inlineStr">
        <is>
          <t>HÄSSLEHOLM</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32488-2025</t>
        </is>
      </c>
      <c r="B3921" s="1" t="n">
        <v>45838</v>
      </c>
      <c r="C3921" s="1" t="n">
        <v>45962</v>
      </c>
      <c r="D3921" t="inlineStr">
        <is>
          <t>SKÅNE LÄN</t>
        </is>
      </c>
      <c r="E3921" t="inlineStr">
        <is>
          <t>SIMRISHAMN</t>
        </is>
      </c>
      <c r="G3921" t="n">
        <v>4.7</v>
      </c>
      <c r="H3921" t="n">
        <v>0</v>
      </c>
      <c r="I3921" t="n">
        <v>0</v>
      </c>
      <c r="J3921" t="n">
        <v>0</v>
      </c>
      <c r="K3921" t="n">
        <v>0</v>
      </c>
      <c r="L3921" t="n">
        <v>0</v>
      </c>
      <c r="M3921" t="n">
        <v>0</v>
      </c>
      <c r="N3921" t="n">
        <v>0</v>
      </c>
      <c r="O3921" t="n">
        <v>0</v>
      </c>
      <c r="P3921" t="n">
        <v>0</v>
      </c>
      <c r="Q3921" t="n">
        <v>0</v>
      </c>
      <c r="R3921" s="2" t="inlineStr"/>
    </row>
    <row r="3922" ht="15" customHeight="1">
      <c r="A3922" t="inlineStr">
        <is>
          <t>A 45658-2024</t>
        </is>
      </c>
      <c r="B3922" s="1" t="n">
        <v>45579</v>
      </c>
      <c r="C3922" s="1" t="n">
        <v>45962</v>
      </c>
      <c r="D3922" t="inlineStr">
        <is>
          <t>SKÅNE LÄN</t>
        </is>
      </c>
      <c r="E3922" t="inlineStr">
        <is>
          <t>KRISTIANSTAD</t>
        </is>
      </c>
      <c r="G3922" t="n">
        <v>3.8</v>
      </c>
      <c r="H3922" t="n">
        <v>0</v>
      </c>
      <c r="I3922" t="n">
        <v>0</v>
      </c>
      <c r="J3922" t="n">
        <v>0</v>
      </c>
      <c r="K3922" t="n">
        <v>0</v>
      </c>
      <c r="L3922" t="n">
        <v>0</v>
      </c>
      <c r="M3922" t="n">
        <v>0</v>
      </c>
      <c r="N3922" t="n">
        <v>0</v>
      </c>
      <c r="O3922" t="n">
        <v>0</v>
      </c>
      <c r="P3922" t="n">
        <v>0</v>
      </c>
      <c r="Q3922" t="n">
        <v>0</v>
      </c>
      <c r="R3922" s="2" t="inlineStr"/>
    </row>
    <row r="3923" ht="15" customHeight="1">
      <c r="A3923" t="inlineStr">
        <is>
          <t>A 8111-2025</t>
        </is>
      </c>
      <c r="B3923" s="1" t="n">
        <v>45707.7328587963</v>
      </c>
      <c r="C3923" s="1" t="n">
        <v>45962</v>
      </c>
      <c r="D3923" t="inlineStr">
        <is>
          <t>SKÅNE LÄN</t>
        </is>
      </c>
      <c r="E3923" t="inlineStr">
        <is>
          <t>KRISTIANSTAD</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6307-2024</t>
        </is>
      </c>
      <c r="B3924" s="1" t="n">
        <v>45338</v>
      </c>
      <c r="C3924" s="1" t="n">
        <v>45962</v>
      </c>
      <c r="D3924" t="inlineStr">
        <is>
          <t>SKÅNE LÄN</t>
        </is>
      </c>
      <c r="E3924" t="inlineStr">
        <is>
          <t>KRISTIANSTAD</t>
        </is>
      </c>
      <c r="F3924" t="inlineStr">
        <is>
          <t>Övriga Aktiebolag</t>
        </is>
      </c>
      <c r="G3924" t="n">
        <v>4.7</v>
      </c>
      <c r="H3924" t="n">
        <v>0</v>
      </c>
      <c r="I3924" t="n">
        <v>0</v>
      </c>
      <c r="J3924" t="n">
        <v>0</v>
      </c>
      <c r="K3924" t="n">
        <v>0</v>
      </c>
      <c r="L3924" t="n">
        <v>0</v>
      </c>
      <c r="M3924" t="n">
        <v>0</v>
      </c>
      <c r="N3924" t="n">
        <v>0</v>
      </c>
      <c r="O3924" t="n">
        <v>0</v>
      </c>
      <c r="P3924" t="n">
        <v>0</v>
      </c>
      <c r="Q3924" t="n">
        <v>0</v>
      </c>
      <c r="R3924" s="2" t="inlineStr"/>
    </row>
    <row r="3925" ht="15" customHeight="1">
      <c r="A3925" t="inlineStr">
        <is>
          <t>A 6316-2024</t>
        </is>
      </c>
      <c r="B3925" s="1" t="n">
        <v>45338</v>
      </c>
      <c r="C3925" s="1" t="n">
        <v>45962</v>
      </c>
      <c r="D3925" t="inlineStr">
        <is>
          <t>SKÅNE LÄN</t>
        </is>
      </c>
      <c r="E3925" t="inlineStr">
        <is>
          <t>TOMELILLA</t>
        </is>
      </c>
      <c r="F3925" t="inlineStr">
        <is>
          <t>Övriga Aktiebolag</t>
        </is>
      </c>
      <c r="G3925" t="n">
        <v>28.6</v>
      </c>
      <c r="H3925" t="n">
        <v>0</v>
      </c>
      <c r="I3925" t="n">
        <v>0</v>
      </c>
      <c r="J3925" t="n">
        <v>0</v>
      </c>
      <c r="K3925" t="n">
        <v>0</v>
      </c>
      <c r="L3925" t="n">
        <v>0</v>
      </c>
      <c r="M3925" t="n">
        <v>0</v>
      </c>
      <c r="N3925" t="n">
        <v>0</v>
      </c>
      <c r="O3925" t="n">
        <v>0</v>
      </c>
      <c r="P3925" t="n">
        <v>0</v>
      </c>
      <c r="Q3925" t="n">
        <v>0</v>
      </c>
      <c r="R3925" s="2" t="inlineStr"/>
    </row>
    <row r="3926" ht="15" customHeight="1">
      <c r="A3926" t="inlineStr">
        <is>
          <t>A 28862-2023</t>
        </is>
      </c>
      <c r="B3926" s="1" t="n">
        <v>45104</v>
      </c>
      <c r="C3926" s="1" t="n">
        <v>45962</v>
      </c>
      <c r="D3926" t="inlineStr">
        <is>
          <t>SKÅNE LÄN</t>
        </is>
      </c>
      <c r="E3926" t="inlineStr">
        <is>
          <t>TOMELILLA</t>
        </is>
      </c>
      <c r="F3926" t="inlineStr">
        <is>
          <t>Övriga Aktiebolag</t>
        </is>
      </c>
      <c r="G3926" t="n">
        <v>6.6</v>
      </c>
      <c r="H3926" t="n">
        <v>0</v>
      </c>
      <c r="I3926" t="n">
        <v>0</v>
      </c>
      <c r="J3926" t="n">
        <v>0</v>
      </c>
      <c r="K3926" t="n">
        <v>0</v>
      </c>
      <c r="L3926" t="n">
        <v>0</v>
      </c>
      <c r="M3926" t="n">
        <v>0</v>
      </c>
      <c r="N3926" t="n">
        <v>0</v>
      </c>
      <c r="O3926" t="n">
        <v>0</v>
      </c>
      <c r="P3926" t="n">
        <v>0</v>
      </c>
      <c r="Q3926" t="n">
        <v>0</v>
      </c>
      <c r="R3926" s="2" t="inlineStr"/>
    </row>
    <row r="3927" ht="15" customHeight="1">
      <c r="A3927" t="inlineStr">
        <is>
          <t>A 7083-2024</t>
        </is>
      </c>
      <c r="B3927" s="1" t="n">
        <v>45343</v>
      </c>
      <c r="C3927" s="1" t="n">
        <v>45962</v>
      </c>
      <c r="D3927" t="inlineStr">
        <is>
          <t>SKÅNE LÄN</t>
        </is>
      </c>
      <c r="E3927" t="inlineStr">
        <is>
          <t>SIMRISHAMN</t>
        </is>
      </c>
      <c r="F3927" t="inlineStr">
        <is>
          <t>Övriga Aktiebolag</t>
        </is>
      </c>
      <c r="G3927" t="n">
        <v>10.6</v>
      </c>
      <c r="H3927" t="n">
        <v>0</v>
      </c>
      <c r="I3927" t="n">
        <v>0</v>
      </c>
      <c r="J3927" t="n">
        <v>0</v>
      </c>
      <c r="K3927" t="n">
        <v>0</v>
      </c>
      <c r="L3927" t="n">
        <v>0</v>
      </c>
      <c r="M3927" t="n">
        <v>0</v>
      </c>
      <c r="N3927" t="n">
        <v>0</v>
      </c>
      <c r="O3927" t="n">
        <v>0</v>
      </c>
      <c r="P3927" t="n">
        <v>0</v>
      </c>
      <c r="Q3927" t="n">
        <v>0</v>
      </c>
      <c r="R3927" s="2" t="inlineStr"/>
    </row>
    <row r="3928" ht="15" customHeight="1">
      <c r="A3928" t="inlineStr">
        <is>
          <t>A 24934-2024</t>
        </is>
      </c>
      <c r="B3928" s="1" t="n">
        <v>45461.61667824074</v>
      </c>
      <c r="C3928" s="1" t="n">
        <v>45962</v>
      </c>
      <c r="D3928" t="inlineStr">
        <is>
          <t>SKÅNE LÄN</t>
        </is>
      </c>
      <c r="E3928" t="inlineStr">
        <is>
          <t>TOMELILLA</t>
        </is>
      </c>
      <c r="F3928" t="inlineStr">
        <is>
          <t>Sveaskog</t>
        </is>
      </c>
      <c r="G3928" t="n">
        <v>0.3</v>
      </c>
      <c r="H3928" t="n">
        <v>0</v>
      </c>
      <c r="I3928" t="n">
        <v>0</v>
      </c>
      <c r="J3928" t="n">
        <v>0</v>
      </c>
      <c r="K3928" t="n">
        <v>0</v>
      </c>
      <c r="L3928" t="n">
        <v>0</v>
      </c>
      <c r="M3928" t="n">
        <v>0</v>
      </c>
      <c r="N3928" t="n">
        <v>0</v>
      </c>
      <c r="O3928" t="n">
        <v>0</v>
      </c>
      <c r="P3928" t="n">
        <v>0</v>
      </c>
      <c r="Q3928" t="n">
        <v>0</v>
      </c>
      <c r="R3928" s="2" t="inlineStr"/>
    </row>
    <row r="3929" ht="15" customHeight="1">
      <c r="A3929" t="inlineStr">
        <is>
          <t>A 45192-2022</t>
        </is>
      </c>
      <c r="B3929" s="1" t="n">
        <v>44844.42034722222</v>
      </c>
      <c r="C3929" s="1" t="n">
        <v>45962</v>
      </c>
      <c r="D3929" t="inlineStr">
        <is>
          <t>SKÅNE LÄN</t>
        </is>
      </c>
      <c r="E3929" t="inlineStr">
        <is>
          <t>ÖRKELLJUNGA</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20054-2024</t>
        </is>
      </c>
      <c r="B3930" s="1" t="n">
        <v>45434</v>
      </c>
      <c r="C3930" s="1" t="n">
        <v>45962</v>
      </c>
      <c r="D3930" t="inlineStr">
        <is>
          <t>SKÅNE LÄN</t>
        </is>
      </c>
      <c r="E3930" t="inlineStr">
        <is>
          <t>BJUV</t>
        </is>
      </c>
      <c r="G3930" t="n">
        <v>7.3</v>
      </c>
      <c r="H3930" t="n">
        <v>0</v>
      </c>
      <c r="I3930" t="n">
        <v>0</v>
      </c>
      <c r="J3930" t="n">
        <v>0</v>
      </c>
      <c r="K3930" t="n">
        <v>0</v>
      </c>
      <c r="L3930" t="n">
        <v>0</v>
      </c>
      <c r="M3930" t="n">
        <v>0</v>
      </c>
      <c r="N3930" t="n">
        <v>0</v>
      </c>
      <c r="O3930" t="n">
        <v>0</v>
      </c>
      <c r="P3930" t="n">
        <v>0</v>
      </c>
      <c r="Q3930" t="n">
        <v>0</v>
      </c>
      <c r="R3930" s="2" t="inlineStr"/>
    </row>
    <row r="3931" ht="15" customHeight="1">
      <c r="A3931" t="inlineStr">
        <is>
          <t>A 22194-2023</t>
        </is>
      </c>
      <c r="B3931" s="1" t="n">
        <v>45069</v>
      </c>
      <c r="C3931" s="1" t="n">
        <v>45962</v>
      </c>
      <c r="D3931" t="inlineStr">
        <is>
          <t>SKÅNE LÄN</t>
        </is>
      </c>
      <c r="E3931" t="inlineStr">
        <is>
          <t>SIMRISHAMN</t>
        </is>
      </c>
      <c r="F3931" t="inlineStr">
        <is>
          <t>Övriga Aktiebolag</t>
        </is>
      </c>
      <c r="G3931" t="n">
        <v>11.4</v>
      </c>
      <c r="H3931" t="n">
        <v>0</v>
      </c>
      <c r="I3931" t="n">
        <v>0</v>
      </c>
      <c r="J3931" t="n">
        <v>0</v>
      </c>
      <c r="K3931" t="n">
        <v>0</v>
      </c>
      <c r="L3931" t="n">
        <v>0</v>
      </c>
      <c r="M3931" t="n">
        <v>0</v>
      </c>
      <c r="N3931" t="n">
        <v>0</v>
      </c>
      <c r="O3931" t="n">
        <v>0</v>
      </c>
      <c r="P3931" t="n">
        <v>0</v>
      </c>
      <c r="Q3931" t="n">
        <v>0</v>
      </c>
      <c r="R3931" s="2" t="inlineStr"/>
    </row>
    <row r="3932" ht="15" customHeight="1">
      <c r="A3932" t="inlineStr">
        <is>
          <t>A 22195-2023</t>
        </is>
      </c>
      <c r="B3932" s="1" t="n">
        <v>45069.74605324074</v>
      </c>
      <c r="C3932" s="1" t="n">
        <v>45962</v>
      </c>
      <c r="D3932" t="inlineStr">
        <is>
          <t>SKÅNE LÄN</t>
        </is>
      </c>
      <c r="E3932" t="inlineStr">
        <is>
          <t>YSTAD</t>
        </is>
      </c>
      <c r="F3932" t="inlineStr">
        <is>
          <t>Övriga Aktiebolag</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55056-2021</t>
        </is>
      </c>
      <c r="B3933" s="1" t="n">
        <v>44474.62072916667</v>
      </c>
      <c r="C3933" s="1" t="n">
        <v>45962</v>
      </c>
      <c r="D3933" t="inlineStr">
        <is>
          <t>SKÅNE LÄN</t>
        </is>
      </c>
      <c r="E3933" t="inlineStr">
        <is>
          <t>HÄSSLEHOLM</t>
        </is>
      </c>
      <c r="G3933" t="n">
        <v>2.5</v>
      </c>
      <c r="H3933" t="n">
        <v>0</v>
      </c>
      <c r="I3933" t="n">
        <v>0</v>
      </c>
      <c r="J3933" t="n">
        <v>0</v>
      </c>
      <c r="K3933" t="n">
        <v>0</v>
      </c>
      <c r="L3933" t="n">
        <v>0</v>
      </c>
      <c r="M3933" t="n">
        <v>0</v>
      </c>
      <c r="N3933" t="n">
        <v>0</v>
      </c>
      <c r="O3933" t="n">
        <v>0</v>
      </c>
      <c r="P3933" t="n">
        <v>0</v>
      </c>
      <c r="Q3933" t="n">
        <v>0</v>
      </c>
      <c r="R3933" s="2" t="inlineStr"/>
    </row>
    <row r="3934" ht="15" customHeight="1">
      <c r="A3934" t="inlineStr">
        <is>
          <t>A 7811-2023</t>
        </is>
      </c>
      <c r="B3934" s="1" t="n">
        <v>44973</v>
      </c>
      <c r="C3934" s="1" t="n">
        <v>45962</v>
      </c>
      <c r="D3934" t="inlineStr">
        <is>
          <t>SKÅNE LÄN</t>
        </is>
      </c>
      <c r="E3934" t="inlineStr">
        <is>
          <t>ÄNGELHOLM</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56360-2023</t>
        </is>
      </c>
      <c r="B3935" s="1" t="n">
        <v>45243.37550925926</v>
      </c>
      <c r="C3935" s="1" t="n">
        <v>45962</v>
      </c>
      <c r="D3935" t="inlineStr">
        <is>
          <t>SKÅNE LÄN</t>
        </is>
      </c>
      <c r="E3935" t="inlineStr">
        <is>
          <t>BROMÖLLA</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47870-2022</t>
        </is>
      </c>
      <c r="B3936" s="1" t="n">
        <v>44855.43302083333</v>
      </c>
      <c r="C3936" s="1" t="n">
        <v>45962</v>
      </c>
      <c r="D3936" t="inlineStr">
        <is>
          <t>SKÅNE LÄN</t>
        </is>
      </c>
      <c r="E3936" t="inlineStr">
        <is>
          <t>KLIPPAN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10580-2023</t>
        </is>
      </c>
      <c r="B3937" s="1" t="n">
        <v>44988</v>
      </c>
      <c r="C3937" s="1" t="n">
        <v>45962</v>
      </c>
      <c r="D3937" t="inlineStr">
        <is>
          <t>SKÅNE LÄN</t>
        </is>
      </c>
      <c r="E3937" t="inlineStr">
        <is>
          <t>KRISTIANSTAD</t>
        </is>
      </c>
      <c r="F3937" t="inlineStr">
        <is>
          <t>Övriga Aktiebolag</t>
        </is>
      </c>
      <c r="G3937" t="n">
        <v>3.2</v>
      </c>
      <c r="H3937" t="n">
        <v>0</v>
      </c>
      <c r="I3937" t="n">
        <v>0</v>
      </c>
      <c r="J3937" t="n">
        <v>0</v>
      </c>
      <c r="K3937" t="n">
        <v>0</v>
      </c>
      <c r="L3937" t="n">
        <v>0</v>
      </c>
      <c r="M3937" t="n">
        <v>0</v>
      </c>
      <c r="N3937" t="n">
        <v>0</v>
      </c>
      <c r="O3937" t="n">
        <v>0</v>
      </c>
      <c r="P3937" t="n">
        <v>0</v>
      </c>
      <c r="Q3937" t="n">
        <v>0</v>
      </c>
      <c r="R3937" s="2" t="inlineStr"/>
    </row>
    <row r="3938" ht="15" customHeight="1">
      <c r="A3938" t="inlineStr">
        <is>
          <t>A 62546-2023</t>
        </is>
      </c>
      <c r="B3938" s="1" t="n">
        <v>45268.90278935185</v>
      </c>
      <c r="C3938" s="1" t="n">
        <v>45962</v>
      </c>
      <c r="D3938" t="inlineStr">
        <is>
          <t>SKÅNE LÄN</t>
        </is>
      </c>
      <c r="E3938" t="inlineStr">
        <is>
          <t>ÖSTRA GÖINGE</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3404-2024</t>
        </is>
      </c>
      <c r="B3939" s="1" t="n">
        <v>45318</v>
      </c>
      <c r="C3939" s="1" t="n">
        <v>45962</v>
      </c>
      <c r="D3939" t="inlineStr">
        <is>
          <t>SKÅNE LÄN</t>
        </is>
      </c>
      <c r="E3939" t="inlineStr">
        <is>
          <t>SIMRISHAMN</t>
        </is>
      </c>
      <c r="G3939" t="n">
        <v>1.9</v>
      </c>
      <c r="H3939" t="n">
        <v>0</v>
      </c>
      <c r="I3939" t="n">
        <v>0</v>
      </c>
      <c r="J3939" t="n">
        <v>0</v>
      </c>
      <c r="K3939" t="n">
        <v>0</v>
      </c>
      <c r="L3939" t="n">
        <v>0</v>
      </c>
      <c r="M3939" t="n">
        <v>0</v>
      </c>
      <c r="N3939" t="n">
        <v>0</v>
      </c>
      <c r="O3939" t="n">
        <v>0</v>
      </c>
      <c r="P3939" t="n">
        <v>0</v>
      </c>
      <c r="Q3939" t="n">
        <v>0</v>
      </c>
      <c r="R3939" s="2" t="inlineStr"/>
    </row>
    <row r="3940" ht="15" customHeight="1">
      <c r="A3940" t="inlineStr">
        <is>
          <t>A 27954-2022</t>
        </is>
      </c>
      <c r="B3940" s="1" t="n">
        <v>44743</v>
      </c>
      <c r="C3940" s="1" t="n">
        <v>45962</v>
      </c>
      <c r="D3940" t="inlineStr">
        <is>
          <t>SKÅNE LÄN</t>
        </is>
      </c>
      <c r="E3940" t="inlineStr">
        <is>
          <t>HÄSSLEHOLM</t>
        </is>
      </c>
      <c r="G3940" t="n">
        <v>9.4</v>
      </c>
      <c r="H3940" t="n">
        <v>0</v>
      </c>
      <c r="I3940" t="n">
        <v>0</v>
      </c>
      <c r="J3940" t="n">
        <v>0</v>
      </c>
      <c r="K3940" t="n">
        <v>0</v>
      </c>
      <c r="L3940" t="n">
        <v>0</v>
      </c>
      <c r="M3940" t="n">
        <v>0</v>
      </c>
      <c r="N3940" t="n">
        <v>0</v>
      </c>
      <c r="O3940" t="n">
        <v>0</v>
      </c>
      <c r="P3940" t="n">
        <v>0</v>
      </c>
      <c r="Q3940" t="n">
        <v>0</v>
      </c>
      <c r="R3940" s="2" t="inlineStr"/>
    </row>
    <row r="3941" ht="15" customHeight="1">
      <c r="A3941" t="inlineStr">
        <is>
          <t>A 20493-2024</t>
        </is>
      </c>
      <c r="B3941" s="1" t="n">
        <v>45435</v>
      </c>
      <c r="C3941" s="1" t="n">
        <v>45962</v>
      </c>
      <c r="D3941" t="inlineStr">
        <is>
          <t>SKÅNE LÄN</t>
        </is>
      </c>
      <c r="E3941" t="inlineStr">
        <is>
          <t>HÄSSLEHOLM</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17571-2024</t>
        </is>
      </c>
      <c r="B3942" s="1" t="n">
        <v>45415</v>
      </c>
      <c r="C3942" s="1" t="n">
        <v>45962</v>
      </c>
      <c r="D3942" t="inlineStr">
        <is>
          <t>SKÅNE LÄN</t>
        </is>
      </c>
      <c r="E3942" t="inlineStr">
        <is>
          <t>KRISTIANSTAD</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38173-2025</t>
        </is>
      </c>
      <c r="B3943" s="1" t="n">
        <v>45882</v>
      </c>
      <c r="C3943" s="1" t="n">
        <v>45962</v>
      </c>
      <c r="D3943" t="inlineStr">
        <is>
          <t>SKÅNE LÄN</t>
        </is>
      </c>
      <c r="E3943" t="inlineStr">
        <is>
          <t>KRISTIANSTAD</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2462-2021</t>
        </is>
      </c>
      <c r="B3944" s="1" t="n">
        <v>44213</v>
      </c>
      <c r="C3944" s="1" t="n">
        <v>45962</v>
      </c>
      <c r="D3944" t="inlineStr">
        <is>
          <t>SKÅNE LÄN</t>
        </is>
      </c>
      <c r="E3944" t="inlineStr">
        <is>
          <t>ÖRKELLJUNGA</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58137-2022</t>
        </is>
      </c>
      <c r="B3945" s="1" t="n">
        <v>44900.69418981481</v>
      </c>
      <c r="C3945" s="1" t="n">
        <v>45962</v>
      </c>
      <c r="D3945" t="inlineStr">
        <is>
          <t>SKÅNE LÄN</t>
        </is>
      </c>
      <c r="E3945" t="inlineStr">
        <is>
          <t>ÄNGELHOLM</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13754-2022</t>
        </is>
      </c>
      <c r="B3946" s="1" t="n">
        <v>44649</v>
      </c>
      <c r="C3946" s="1" t="n">
        <v>45962</v>
      </c>
      <c r="D3946" t="inlineStr">
        <is>
          <t>SKÅNE LÄN</t>
        </is>
      </c>
      <c r="E3946" t="inlineStr">
        <is>
          <t>LUND</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12235-2023</t>
        </is>
      </c>
      <c r="B3947" s="1" t="n">
        <v>44998</v>
      </c>
      <c r="C3947" s="1" t="n">
        <v>45962</v>
      </c>
      <c r="D3947" t="inlineStr">
        <is>
          <t>SKÅNE LÄN</t>
        </is>
      </c>
      <c r="E3947" t="inlineStr">
        <is>
          <t>KRISTIANSTAD</t>
        </is>
      </c>
      <c r="G3947" t="n">
        <v>0.5</v>
      </c>
      <c r="H3947" t="n">
        <v>0</v>
      </c>
      <c r="I3947" t="n">
        <v>0</v>
      </c>
      <c r="J3947" t="n">
        <v>0</v>
      </c>
      <c r="K3947" t="n">
        <v>0</v>
      </c>
      <c r="L3947" t="n">
        <v>0</v>
      </c>
      <c r="M3947" t="n">
        <v>0</v>
      </c>
      <c r="N3947" t="n">
        <v>0</v>
      </c>
      <c r="O3947" t="n">
        <v>0</v>
      </c>
      <c r="P3947" t="n">
        <v>0</v>
      </c>
      <c r="Q3947" t="n">
        <v>0</v>
      </c>
      <c r="R3947" s="2" t="inlineStr"/>
    </row>
    <row r="3948" ht="15" customHeight="1">
      <c r="A3948" t="inlineStr">
        <is>
          <t>A 15322-2023</t>
        </is>
      </c>
      <c r="B3948" s="1" t="n">
        <v>45019.48450231482</v>
      </c>
      <c r="C3948" s="1" t="n">
        <v>45962</v>
      </c>
      <c r="D3948" t="inlineStr">
        <is>
          <t>SKÅNE LÄN</t>
        </is>
      </c>
      <c r="E3948" t="inlineStr">
        <is>
          <t>KRISTIANSTAD</t>
        </is>
      </c>
      <c r="G3948" t="n">
        <v>3.1</v>
      </c>
      <c r="H3948" t="n">
        <v>0</v>
      </c>
      <c r="I3948" t="n">
        <v>0</v>
      </c>
      <c r="J3948" t="n">
        <v>0</v>
      </c>
      <c r="K3948" t="n">
        <v>0</v>
      </c>
      <c r="L3948" t="n">
        <v>0</v>
      </c>
      <c r="M3948" t="n">
        <v>0</v>
      </c>
      <c r="N3948" t="n">
        <v>0</v>
      </c>
      <c r="O3948" t="n">
        <v>0</v>
      </c>
      <c r="P3948" t="n">
        <v>0</v>
      </c>
      <c r="Q3948" t="n">
        <v>0</v>
      </c>
      <c r="R3948" s="2" t="inlineStr"/>
    </row>
    <row r="3949" ht="15" customHeight="1">
      <c r="A3949" t="inlineStr">
        <is>
          <t>A 52740-2024</t>
        </is>
      </c>
      <c r="B3949" s="1" t="n">
        <v>45610</v>
      </c>
      <c r="C3949" s="1" t="n">
        <v>45962</v>
      </c>
      <c r="D3949" t="inlineStr">
        <is>
          <t>SKÅNE LÄN</t>
        </is>
      </c>
      <c r="E3949" t="inlineStr">
        <is>
          <t>PERSTORP</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43647-2021</t>
        </is>
      </c>
      <c r="B3950" s="1" t="n">
        <v>44433.55268518518</v>
      </c>
      <c r="C3950" s="1" t="n">
        <v>45962</v>
      </c>
      <c r="D3950" t="inlineStr">
        <is>
          <t>SKÅNE LÄN</t>
        </is>
      </c>
      <c r="E3950" t="inlineStr">
        <is>
          <t>BROMÖLLA</t>
        </is>
      </c>
      <c r="G3950" t="n">
        <v>3.5</v>
      </c>
      <c r="H3950" t="n">
        <v>0</v>
      </c>
      <c r="I3950" t="n">
        <v>0</v>
      </c>
      <c r="J3950" t="n">
        <v>0</v>
      </c>
      <c r="K3950" t="n">
        <v>0</v>
      </c>
      <c r="L3950" t="n">
        <v>0</v>
      </c>
      <c r="M3950" t="n">
        <v>0</v>
      </c>
      <c r="N3950" t="n">
        <v>0</v>
      </c>
      <c r="O3950" t="n">
        <v>0</v>
      </c>
      <c r="P3950" t="n">
        <v>0</v>
      </c>
      <c r="Q3950" t="n">
        <v>0</v>
      </c>
      <c r="R3950" s="2" t="inlineStr"/>
    </row>
    <row r="3951" ht="15" customHeight="1">
      <c r="A3951" t="inlineStr">
        <is>
          <t>A 30145-2025</t>
        </is>
      </c>
      <c r="B3951" s="1" t="n">
        <v>45826.96917824074</v>
      </c>
      <c r="C3951" s="1" t="n">
        <v>45962</v>
      </c>
      <c r="D3951" t="inlineStr">
        <is>
          <t>SKÅNE LÄN</t>
        </is>
      </c>
      <c r="E3951" t="inlineStr">
        <is>
          <t>OSBY</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13544-2025</t>
        </is>
      </c>
      <c r="B3952" s="1" t="n">
        <v>45736</v>
      </c>
      <c r="C3952" s="1" t="n">
        <v>45962</v>
      </c>
      <c r="D3952" t="inlineStr">
        <is>
          <t>SKÅNE LÄN</t>
        </is>
      </c>
      <c r="E3952" t="inlineStr">
        <is>
          <t>HÄSSLEHOLM</t>
        </is>
      </c>
      <c r="G3952" t="n">
        <v>2.5</v>
      </c>
      <c r="H3952" t="n">
        <v>0</v>
      </c>
      <c r="I3952" t="n">
        <v>0</v>
      </c>
      <c r="J3952" t="n">
        <v>0</v>
      </c>
      <c r="K3952" t="n">
        <v>0</v>
      </c>
      <c r="L3952" t="n">
        <v>0</v>
      </c>
      <c r="M3952" t="n">
        <v>0</v>
      </c>
      <c r="N3952" t="n">
        <v>0</v>
      </c>
      <c r="O3952" t="n">
        <v>0</v>
      </c>
      <c r="P3952" t="n">
        <v>0</v>
      </c>
      <c r="Q3952" t="n">
        <v>0</v>
      </c>
      <c r="R3952" s="2" t="inlineStr"/>
    </row>
    <row r="3953" ht="15" customHeight="1">
      <c r="A3953" t="inlineStr">
        <is>
          <t>A 16969-2025</t>
        </is>
      </c>
      <c r="B3953" s="1" t="n">
        <v>45755.4659837963</v>
      </c>
      <c r="C3953" s="1" t="n">
        <v>45962</v>
      </c>
      <c r="D3953" t="inlineStr">
        <is>
          <t>SKÅNE LÄN</t>
        </is>
      </c>
      <c r="E3953" t="inlineStr">
        <is>
          <t>HÖÖR</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51031-2023</t>
        </is>
      </c>
      <c r="B3954" s="1" t="n">
        <v>45211</v>
      </c>
      <c r="C3954" s="1" t="n">
        <v>45962</v>
      </c>
      <c r="D3954" t="inlineStr">
        <is>
          <t>SKÅNE LÄN</t>
        </is>
      </c>
      <c r="E3954" t="inlineStr">
        <is>
          <t>TOMELILLA</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41873-2023</t>
        </is>
      </c>
      <c r="B3955" s="1" t="n">
        <v>45176</v>
      </c>
      <c r="C3955" s="1" t="n">
        <v>45962</v>
      </c>
      <c r="D3955" t="inlineStr">
        <is>
          <t>SKÅNE LÄN</t>
        </is>
      </c>
      <c r="E3955" t="inlineStr">
        <is>
          <t>HÄSSLEHOLM</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33562-2025</t>
        </is>
      </c>
      <c r="B3956" s="1" t="n">
        <v>45841.57803240741</v>
      </c>
      <c r="C3956" s="1" t="n">
        <v>45962</v>
      </c>
      <c r="D3956" t="inlineStr">
        <is>
          <t>SKÅNE LÄN</t>
        </is>
      </c>
      <c r="E3956" t="inlineStr">
        <is>
          <t>HÄSSLEHOLM</t>
        </is>
      </c>
      <c r="G3956" t="n">
        <v>2.8</v>
      </c>
      <c r="H3956" t="n">
        <v>0</v>
      </c>
      <c r="I3956" t="n">
        <v>0</v>
      </c>
      <c r="J3956" t="n">
        <v>0</v>
      </c>
      <c r="K3956" t="n">
        <v>0</v>
      </c>
      <c r="L3956" t="n">
        <v>0</v>
      </c>
      <c r="M3956" t="n">
        <v>0</v>
      </c>
      <c r="N3956" t="n">
        <v>0</v>
      </c>
      <c r="O3956" t="n">
        <v>0</v>
      </c>
      <c r="P3956" t="n">
        <v>0</v>
      </c>
      <c r="Q3956" t="n">
        <v>0</v>
      </c>
      <c r="R3956" s="2" t="inlineStr"/>
    </row>
    <row r="3957" ht="15" customHeight="1">
      <c r="A3957" t="inlineStr">
        <is>
          <t>A 41998-2021</t>
        </is>
      </c>
      <c r="B3957" s="1" t="n">
        <v>44425</v>
      </c>
      <c r="C3957" s="1" t="n">
        <v>45962</v>
      </c>
      <c r="D3957" t="inlineStr">
        <is>
          <t>SKÅNE LÄN</t>
        </is>
      </c>
      <c r="E3957" t="inlineStr">
        <is>
          <t>HÄSSLEHOLM</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32814-2023</t>
        </is>
      </c>
      <c r="B3958" s="1" t="n">
        <v>45124</v>
      </c>
      <c r="C3958" s="1" t="n">
        <v>45962</v>
      </c>
      <c r="D3958" t="inlineStr">
        <is>
          <t>SKÅNE LÄN</t>
        </is>
      </c>
      <c r="E3958" t="inlineStr">
        <is>
          <t>KRISTIANSTAD</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61198-2021</t>
        </is>
      </c>
      <c r="B3959" s="1" t="n">
        <v>44497</v>
      </c>
      <c r="C3959" s="1" t="n">
        <v>45962</v>
      </c>
      <c r="D3959" t="inlineStr">
        <is>
          <t>SKÅNE LÄN</t>
        </is>
      </c>
      <c r="E3959" t="inlineStr">
        <is>
          <t>KRISTIANSTAD</t>
        </is>
      </c>
      <c r="G3959" t="n">
        <v>13.8</v>
      </c>
      <c r="H3959" t="n">
        <v>0</v>
      </c>
      <c r="I3959" t="n">
        <v>0</v>
      </c>
      <c r="J3959" t="n">
        <v>0</v>
      </c>
      <c r="K3959" t="n">
        <v>0</v>
      </c>
      <c r="L3959" t="n">
        <v>0</v>
      </c>
      <c r="M3959" t="n">
        <v>0</v>
      </c>
      <c r="N3959" t="n">
        <v>0</v>
      </c>
      <c r="O3959" t="n">
        <v>0</v>
      </c>
      <c r="P3959" t="n">
        <v>0</v>
      </c>
      <c r="Q3959" t="n">
        <v>0</v>
      </c>
      <c r="R3959" s="2" t="inlineStr"/>
    </row>
    <row r="3960" ht="15" customHeight="1">
      <c r="A3960" t="inlineStr">
        <is>
          <t>A 35712-2024</t>
        </is>
      </c>
      <c r="B3960" s="1" t="n">
        <v>45532</v>
      </c>
      <c r="C3960" s="1" t="n">
        <v>45962</v>
      </c>
      <c r="D3960" t="inlineStr">
        <is>
          <t>SKÅNE LÄN</t>
        </is>
      </c>
      <c r="E3960" t="inlineStr">
        <is>
          <t>HÄSSLEHOLM</t>
        </is>
      </c>
      <c r="G3960" t="n">
        <v>0.6</v>
      </c>
      <c r="H3960" t="n">
        <v>0</v>
      </c>
      <c r="I3960" t="n">
        <v>0</v>
      </c>
      <c r="J3960" t="n">
        <v>0</v>
      </c>
      <c r="K3960" t="n">
        <v>0</v>
      </c>
      <c r="L3960" t="n">
        <v>0</v>
      </c>
      <c r="M3960" t="n">
        <v>0</v>
      </c>
      <c r="N3960" t="n">
        <v>0</v>
      </c>
      <c r="O3960" t="n">
        <v>0</v>
      </c>
      <c r="P3960" t="n">
        <v>0</v>
      </c>
      <c r="Q3960" t="n">
        <v>0</v>
      </c>
      <c r="R3960" s="2" t="inlineStr"/>
    </row>
    <row r="3961" ht="15" customHeight="1">
      <c r="A3961" t="inlineStr">
        <is>
          <t>A 61691-2021</t>
        </is>
      </c>
      <c r="B3961" s="1" t="n">
        <v>44501</v>
      </c>
      <c r="C3961" s="1" t="n">
        <v>45962</v>
      </c>
      <c r="D3961" t="inlineStr">
        <is>
          <t>SKÅNE LÄN</t>
        </is>
      </c>
      <c r="E3961" t="inlineStr">
        <is>
          <t>HÄSSLEHOLM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8704-2024</t>
        </is>
      </c>
      <c r="B3962" s="1" t="n">
        <v>45356.38424768519</v>
      </c>
      <c r="C3962" s="1" t="n">
        <v>45962</v>
      </c>
      <c r="D3962" t="inlineStr">
        <is>
          <t>SKÅNE LÄN</t>
        </is>
      </c>
      <c r="E3962" t="inlineStr">
        <is>
          <t>PERSTORP</t>
        </is>
      </c>
      <c r="G3962" t="n">
        <v>0.4</v>
      </c>
      <c r="H3962" t="n">
        <v>0</v>
      </c>
      <c r="I3962" t="n">
        <v>0</v>
      </c>
      <c r="J3962" t="n">
        <v>0</v>
      </c>
      <c r="K3962" t="n">
        <v>0</v>
      </c>
      <c r="L3962" t="n">
        <v>0</v>
      </c>
      <c r="M3962" t="n">
        <v>0</v>
      </c>
      <c r="N3962" t="n">
        <v>0</v>
      </c>
      <c r="O3962" t="n">
        <v>0</v>
      </c>
      <c r="P3962" t="n">
        <v>0</v>
      </c>
      <c r="Q3962" t="n">
        <v>0</v>
      </c>
      <c r="R3962" s="2" t="inlineStr"/>
    </row>
    <row r="3963" ht="15" customHeight="1">
      <c r="A3963" t="inlineStr">
        <is>
          <t>A 33450-2025</t>
        </is>
      </c>
      <c r="B3963" s="1" t="n">
        <v>45841.46677083334</v>
      </c>
      <c r="C3963" s="1" t="n">
        <v>45962</v>
      </c>
      <c r="D3963" t="inlineStr">
        <is>
          <t>SKÅNE LÄN</t>
        </is>
      </c>
      <c r="E3963" t="inlineStr">
        <is>
          <t>KLIPPAN</t>
        </is>
      </c>
      <c r="G3963" t="n">
        <v>5</v>
      </c>
      <c r="H3963" t="n">
        <v>0</v>
      </c>
      <c r="I3963" t="n">
        <v>0</v>
      </c>
      <c r="J3963" t="n">
        <v>0</v>
      </c>
      <c r="K3963" t="n">
        <v>0</v>
      </c>
      <c r="L3963" t="n">
        <v>0</v>
      </c>
      <c r="M3963" t="n">
        <v>0</v>
      </c>
      <c r="N3963" t="n">
        <v>0</v>
      </c>
      <c r="O3963" t="n">
        <v>0</v>
      </c>
      <c r="P3963" t="n">
        <v>0</v>
      </c>
      <c r="Q3963" t="n">
        <v>0</v>
      </c>
      <c r="R3963" s="2" t="inlineStr"/>
    </row>
    <row r="3964" ht="15" customHeight="1">
      <c r="A3964" t="inlineStr">
        <is>
          <t>A 33456-2025</t>
        </is>
      </c>
      <c r="B3964" s="1" t="n">
        <v>45841.47364583334</v>
      </c>
      <c r="C3964" s="1" t="n">
        <v>45962</v>
      </c>
      <c r="D3964" t="inlineStr">
        <is>
          <t>SKÅNE LÄN</t>
        </is>
      </c>
      <c r="E3964" t="inlineStr">
        <is>
          <t>KLIPPAN</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8755-2024</t>
        </is>
      </c>
      <c r="B3965" s="1" t="n">
        <v>45356</v>
      </c>
      <c r="C3965" s="1" t="n">
        <v>45962</v>
      </c>
      <c r="D3965" t="inlineStr">
        <is>
          <t>SKÅNE LÄN</t>
        </is>
      </c>
      <c r="E3965" t="inlineStr">
        <is>
          <t>HÄSSLEHOLM</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8760-2024</t>
        </is>
      </c>
      <c r="B3966" s="1" t="n">
        <v>45356.53420138889</v>
      </c>
      <c r="C3966" s="1" t="n">
        <v>45962</v>
      </c>
      <c r="D3966" t="inlineStr">
        <is>
          <t>SKÅNE LÄN</t>
        </is>
      </c>
      <c r="E3966" t="inlineStr">
        <is>
          <t>HÄSSLEHOLM</t>
        </is>
      </c>
      <c r="G3966" t="n">
        <v>6.1</v>
      </c>
      <c r="H3966" t="n">
        <v>0</v>
      </c>
      <c r="I3966" t="n">
        <v>0</v>
      </c>
      <c r="J3966" t="n">
        <v>0</v>
      </c>
      <c r="K3966" t="n">
        <v>0</v>
      </c>
      <c r="L3966" t="n">
        <v>0</v>
      </c>
      <c r="M3966" t="n">
        <v>0</v>
      </c>
      <c r="N3966" t="n">
        <v>0</v>
      </c>
      <c r="O3966" t="n">
        <v>0</v>
      </c>
      <c r="P3966" t="n">
        <v>0</v>
      </c>
      <c r="Q3966" t="n">
        <v>0</v>
      </c>
      <c r="R3966" s="2" t="inlineStr"/>
    </row>
    <row r="3967" ht="15" customHeight="1">
      <c r="A3967" t="inlineStr">
        <is>
          <t>A 35715-2023</t>
        </is>
      </c>
      <c r="B3967" s="1" t="n">
        <v>45147.68502314815</v>
      </c>
      <c r="C3967" s="1" t="n">
        <v>45962</v>
      </c>
      <c r="D3967" t="inlineStr">
        <is>
          <t>SKÅNE LÄN</t>
        </is>
      </c>
      <c r="E3967" t="inlineStr">
        <is>
          <t>OSBY</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6874-2024</t>
        </is>
      </c>
      <c r="B3968" s="1" t="n">
        <v>45342</v>
      </c>
      <c r="C3968" s="1" t="n">
        <v>45962</v>
      </c>
      <c r="D3968" t="inlineStr">
        <is>
          <t>SKÅNE LÄN</t>
        </is>
      </c>
      <c r="E3968" t="inlineStr">
        <is>
          <t>OSBY</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33037-2025</t>
        </is>
      </c>
      <c r="B3969" s="1" t="n">
        <v>45840.39623842593</v>
      </c>
      <c r="C3969" s="1" t="n">
        <v>45962</v>
      </c>
      <c r="D3969" t="inlineStr">
        <is>
          <t>SKÅNE LÄN</t>
        </is>
      </c>
      <c r="E3969" t="inlineStr">
        <is>
          <t>TRELLEBORG</t>
        </is>
      </c>
      <c r="G3969" t="n">
        <v>0.8</v>
      </c>
      <c r="H3969" t="n">
        <v>0</v>
      </c>
      <c r="I3969" t="n">
        <v>0</v>
      </c>
      <c r="J3969" t="n">
        <v>0</v>
      </c>
      <c r="K3969" t="n">
        <v>0</v>
      </c>
      <c r="L3969" t="n">
        <v>0</v>
      </c>
      <c r="M3969" t="n">
        <v>0</v>
      </c>
      <c r="N3969" t="n">
        <v>0</v>
      </c>
      <c r="O3969" t="n">
        <v>0</v>
      </c>
      <c r="P3969" t="n">
        <v>0</v>
      </c>
      <c r="Q3969" t="n">
        <v>0</v>
      </c>
      <c r="R3969" s="2" t="inlineStr"/>
    </row>
    <row r="3970" ht="15" customHeight="1">
      <c r="A3970" t="inlineStr">
        <is>
          <t>A 20643-2024</t>
        </is>
      </c>
      <c r="B3970" s="1" t="n">
        <v>45436</v>
      </c>
      <c r="C3970" s="1" t="n">
        <v>45962</v>
      </c>
      <c r="D3970" t="inlineStr">
        <is>
          <t>SKÅNE LÄN</t>
        </is>
      </c>
      <c r="E3970" t="inlineStr">
        <is>
          <t>OSBY</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33033-2025</t>
        </is>
      </c>
      <c r="B3971" s="1" t="n">
        <v>45840.39188657407</v>
      </c>
      <c r="C3971" s="1" t="n">
        <v>45962</v>
      </c>
      <c r="D3971" t="inlineStr">
        <is>
          <t>SKÅNE LÄN</t>
        </is>
      </c>
      <c r="E3971" t="inlineStr">
        <is>
          <t>TRELLEBORG</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17023-2025</t>
        </is>
      </c>
      <c r="B3972" s="1" t="n">
        <v>45755</v>
      </c>
      <c r="C3972" s="1" t="n">
        <v>45962</v>
      </c>
      <c r="D3972" t="inlineStr">
        <is>
          <t>SKÅNE LÄN</t>
        </is>
      </c>
      <c r="E3972" t="inlineStr">
        <is>
          <t>KRISTIANSTAD</t>
        </is>
      </c>
      <c r="G3972" t="n">
        <v>5.7</v>
      </c>
      <c r="H3972" t="n">
        <v>0</v>
      </c>
      <c r="I3972" t="n">
        <v>0</v>
      </c>
      <c r="J3972" t="n">
        <v>0</v>
      </c>
      <c r="K3972" t="n">
        <v>0</v>
      </c>
      <c r="L3972" t="n">
        <v>0</v>
      </c>
      <c r="M3972" t="n">
        <v>0</v>
      </c>
      <c r="N3972" t="n">
        <v>0</v>
      </c>
      <c r="O3972" t="n">
        <v>0</v>
      </c>
      <c r="P3972" t="n">
        <v>0</v>
      </c>
      <c r="Q3972" t="n">
        <v>0</v>
      </c>
      <c r="R3972" s="2" t="inlineStr"/>
    </row>
    <row r="3973" ht="15" customHeight="1">
      <c r="A3973" t="inlineStr">
        <is>
          <t>A 17024-2025</t>
        </is>
      </c>
      <c r="B3973" s="1" t="n">
        <v>45755</v>
      </c>
      <c r="C3973" s="1" t="n">
        <v>45962</v>
      </c>
      <c r="D3973" t="inlineStr">
        <is>
          <t>SKÅNE LÄN</t>
        </is>
      </c>
      <c r="E3973" t="inlineStr">
        <is>
          <t>KRISTIANSTAD</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17026-2025</t>
        </is>
      </c>
      <c r="B3974" s="1" t="n">
        <v>45755</v>
      </c>
      <c r="C3974" s="1" t="n">
        <v>45962</v>
      </c>
      <c r="D3974" t="inlineStr">
        <is>
          <t>SKÅNE LÄN</t>
        </is>
      </c>
      <c r="E3974" t="inlineStr">
        <is>
          <t>KRISTIANSTAD</t>
        </is>
      </c>
      <c r="G3974" t="n">
        <v>11.9</v>
      </c>
      <c r="H3974" t="n">
        <v>0</v>
      </c>
      <c r="I3974" t="n">
        <v>0</v>
      </c>
      <c r="J3974" t="n">
        <v>0</v>
      </c>
      <c r="K3974" t="n">
        <v>0</v>
      </c>
      <c r="L3974" t="n">
        <v>0</v>
      </c>
      <c r="M3974" t="n">
        <v>0</v>
      </c>
      <c r="N3974" t="n">
        <v>0</v>
      </c>
      <c r="O3974" t="n">
        <v>0</v>
      </c>
      <c r="P3974" t="n">
        <v>0</v>
      </c>
      <c r="Q3974" t="n">
        <v>0</v>
      </c>
      <c r="R3974" s="2" t="inlineStr"/>
    </row>
    <row r="3975" ht="15" customHeight="1">
      <c r="A3975" t="inlineStr">
        <is>
          <t>A 29817-2025</t>
        </is>
      </c>
      <c r="B3975" s="1" t="n">
        <v>45825</v>
      </c>
      <c r="C3975" s="1" t="n">
        <v>45962</v>
      </c>
      <c r="D3975" t="inlineStr">
        <is>
          <t>SKÅNE LÄN</t>
        </is>
      </c>
      <c r="E3975" t="inlineStr">
        <is>
          <t>SVEDALA</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29285-2025</t>
        </is>
      </c>
      <c r="B3976" s="1" t="n">
        <v>45824</v>
      </c>
      <c r="C3976" s="1" t="n">
        <v>45962</v>
      </c>
      <c r="D3976" t="inlineStr">
        <is>
          <t>SKÅNE LÄN</t>
        </is>
      </c>
      <c r="E3976" t="inlineStr">
        <is>
          <t>HÖÖR</t>
        </is>
      </c>
      <c r="G3976" t="n">
        <v>8.199999999999999</v>
      </c>
      <c r="H3976" t="n">
        <v>0</v>
      </c>
      <c r="I3976" t="n">
        <v>0</v>
      </c>
      <c r="J3976" t="n">
        <v>0</v>
      </c>
      <c r="K3976" t="n">
        <v>0</v>
      </c>
      <c r="L3976" t="n">
        <v>0</v>
      </c>
      <c r="M3976" t="n">
        <v>0</v>
      </c>
      <c r="N3976" t="n">
        <v>0</v>
      </c>
      <c r="O3976" t="n">
        <v>0</v>
      </c>
      <c r="P3976" t="n">
        <v>0</v>
      </c>
      <c r="Q3976" t="n">
        <v>0</v>
      </c>
      <c r="R3976" s="2" t="inlineStr"/>
    </row>
    <row r="3977" ht="15" customHeight="1">
      <c r="A3977" t="inlineStr">
        <is>
          <t>A 33257-2024</t>
        </is>
      </c>
      <c r="B3977" s="1" t="n">
        <v>45518</v>
      </c>
      <c r="C3977" s="1" t="n">
        <v>45962</v>
      </c>
      <c r="D3977" t="inlineStr">
        <is>
          <t>SKÅNE LÄN</t>
        </is>
      </c>
      <c r="E3977" t="inlineStr">
        <is>
          <t>HÄSSLEHOLM</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5990-2025</t>
        </is>
      </c>
      <c r="B3978" s="1" t="n">
        <v>45695.56311342592</v>
      </c>
      <c r="C3978" s="1" t="n">
        <v>45962</v>
      </c>
      <c r="D3978" t="inlineStr">
        <is>
          <t>SKÅNE LÄN</t>
        </is>
      </c>
      <c r="E3978" t="inlineStr">
        <is>
          <t>OSBY</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24526-2023</t>
        </is>
      </c>
      <c r="B3979" s="1" t="n">
        <v>45082</v>
      </c>
      <c r="C3979" s="1" t="n">
        <v>45962</v>
      </c>
      <c r="D3979" t="inlineStr">
        <is>
          <t>SKÅNE LÄN</t>
        </is>
      </c>
      <c r="E3979" t="inlineStr">
        <is>
          <t>ÖSTRA GÖINGE</t>
        </is>
      </c>
      <c r="G3979" t="n">
        <v>2.4</v>
      </c>
      <c r="H3979" t="n">
        <v>0</v>
      </c>
      <c r="I3979" t="n">
        <v>0</v>
      </c>
      <c r="J3979" t="n">
        <v>0</v>
      </c>
      <c r="K3979" t="n">
        <v>0</v>
      </c>
      <c r="L3979" t="n">
        <v>0</v>
      </c>
      <c r="M3979" t="n">
        <v>0</v>
      </c>
      <c r="N3979" t="n">
        <v>0</v>
      </c>
      <c r="O3979" t="n">
        <v>0</v>
      </c>
      <c r="P3979" t="n">
        <v>0</v>
      </c>
      <c r="Q3979" t="n">
        <v>0</v>
      </c>
      <c r="R3979" s="2" t="inlineStr"/>
    </row>
    <row r="3980" ht="15" customHeight="1">
      <c r="A3980" t="inlineStr">
        <is>
          <t>A 42313-2024</t>
        </is>
      </c>
      <c r="B3980" s="1" t="n">
        <v>45562.64256944445</v>
      </c>
      <c r="C3980" s="1" t="n">
        <v>45962</v>
      </c>
      <c r="D3980" t="inlineStr">
        <is>
          <t>SKÅNE LÄN</t>
        </is>
      </c>
      <c r="E3980" t="inlineStr">
        <is>
          <t>ÖSTRA GÖINGE</t>
        </is>
      </c>
      <c r="F3980" t="inlineStr">
        <is>
          <t>Sveaskog</t>
        </is>
      </c>
      <c r="G3980" t="n">
        <v>0.6</v>
      </c>
      <c r="H3980" t="n">
        <v>0</v>
      </c>
      <c r="I3980" t="n">
        <v>0</v>
      </c>
      <c r="J3980" t="n">
        <v>0</v>
      </c>
      <c r="K3980" t="n">
        <v>0</v>
      </c>
      <c r="L3980" t="n">
        <v>0</v>
      </c>
      <c r="M3980" t="n">
        <v>0</v>
      </c>
      <c r="N3980" t="n">
        <v>0</v>
      </c>
      <c r="O3980" t="n">
        <v>0</v>
      </c>
      <c r="P3980" t="n">
        <v>0</v>
      </c>
      <c r="Q3980" t="n">
        <v>0</v>
      </c>
      <c r="R3980" s="2" t="inlineStr"/>
    </row>
    <row r="3981" ht="15" customHeight="1">
      <c r="A3981" t="inlineStr">
        <is>
          <t>A 24583-2023</t>
        </is>
      </c>
      <c r="B3981" s="1" t="n">
        <v>45083</v>
      </c>
      <c r="C3981" s="1" t="n">
        <v>45962</v>
      </c>
      <c r="D3981" t="inlineStr">
        <is>
          <t>SKÅNE LÄN</t>
        </is>
      </c>
      <c r="E3981" t="inlineStr">
        <is>
          <t>KRISTIANSTAD</t>
        </is>
      </c>
      <c r="F3981" t="inlineStr">
        <is>
          <t>Övriga Aktiebolag</t>
        </is>
      </c>
      <c r="G3981" t="n">
        <v>3.2</v>
      </c>
      <c r="H3981" t="n">
        <v>0</v>
      </c>
      <c r="I3981" t="n">
        <v>0</v>
      </c>
      <c r="J3981" t="n">
        <v>0</v>
      </c>
      <c r="K3981" t="n">
        <v>0</v>
      </c>
      <c r="L3981" t="n">
        <v>0</v>
      </c>
      <c r="M3981" t="n">
        <v>0</v>
      </c>
      <c r="N3981" t="n">
        <v>0</v>
      </c>
      <c r="O3981" t="n">
        <v>0</v>
      </c>
      <c r="P3981" t="n">
        <v>0</v>
      </c>
      <c r="Q3981" t="n">
        <v>0</v>
      </c>
      <c r="R3981" s="2" t="inlineStr"/>
    </row>
    <row r="3982" ht="15" customHeight="1">
      <c r="A3982" t="inlineStr">
        <is>
          <t>A 29750-2021</t>
        </is>
      </c>
      <c r="B3982" s="1" t="n">
        <v>44362</v>
      </c>
      <c r="C3982" s="1" t="n">
        <v>45962</v>
      </c>
      <c r="D3982" t="inlineStr">
        <is>
          <t>SKÅNE LÄN</t>
        </is>
      </c>
      <c r="E3982" t="inlineStr">
        <is>
          <t>PERSTORP</t>
        </is>
      </c>
      <c r="G3982" t="n">
        <v>2.1</v>
      </c>
      <c r="H3982" t="n">
        <v>0</v>
      </c>
      <c r="I3982" t="n">
        <v>0</v>
      </c>
      <c r="J3982" t="n">
        <v>0</v>
      </c>
      <c r="K3982" t="n">
        <v>0</v>
      </c>
      <c r="L3982" t="n">
        <v>0</v>
      </c>
      <c r="M3982" t="n">
        <v>0</v>
      </c>
      <c r="N3982" t="n">
        <v>0</v>
      </c>
      <c r="O3982" t="n">
        <v>0</v>
      </c>
      <c r="P3982" t="n">
        <v>0</v>
      </c>
      <c r="Q3982" t="n">
        <v>0</v>
      </c>
      <c r="R3982" s="2" t="inlineStr"/>
    </row>
    <row r="3983" ht="15" customHeight="1">
      <c r="A3983" t="inlineStr">
        <is>
          <t>A 39238-2023</t>
        </is>
      </c>
      <c r="B3983" s="1" t="n">
        <v>45162</v>
      </c>
      <c r="C3983" s="1" t="n">
        <v>45962</v>
      </c>
      <c r="D3983" t="inlineStr">
        <is>
          <t>SKÅNE LÄN</t>
        </is>
      </c>
      <c r="E3983" t="inlineStr">
        <is>
          <t>SIMRISHAMN</t>
        </is>
      </c>
      <c r="G3983" t="n">
        <v>4.2</v>
      </c>
      <c r="H3983" t="n">
        <v>0</v>
      </c>
      <c r="I3983" t="n">
        <v>0</v>
      </c>
      <c r="J3983" t="n">
        <v>0</v>
      </c>
      <c r="K3983" t="n">
        <v>0</v>
      </c>
      <c r="L3983" t="n">
        <v>0</v>
      </c>
      <c r="M3983" t="n">
        <v>0</v>
      </c>
      <c r="N3983" t="n">
        <v>0</v>
      </c>
      <c r="O3983" t="n">
        <v>0</v>
      </c>
      <c r="P3983" t="n">
        <v>0</v>
      </c>
      <c r="Q3983" t="n">
        <v>0</v>
      </c>
      <c r="R3983" s="2" t="inlineStr"/>
    </row>
    <row r="3984" ht="15" customHeight="1">
      <c r="A3984" t="inlineStr">
        <is>
          <t>A 34238-2025</t>
        </is>
      </c>
      <c r="B3984" s="1" t="n">
        <v>45844</v>
      </c>
      <c r="C3984" s="1" t="n">
        <v>45962</v>
      </c>
      <c r="D3984" t="inlineStr">
        <is>
          <t>SKÅNE LÄN</t>
        </is>
      </c>
      <c r="E3984" t="inlineStr">
        <is>
          <t>OSBY</t>
        </is>
      </c>
      <c r="G3984" t="n">
        <v>9</v>
      </c>
      <c r="H3984" t="n">
        <v>0</v>
      </c>
      <c r="I3984" t="n">
        <v>0</v>
      </c>
      <c r="J3984" t="n">
        <v>0</v>
      </c>
      <c r="K3984" t="n">
        <v>0</v>
      </c>
      <c r="L3984" t="n">
        <v>0</v>
      </c>
      <c r="M3984" t="n">
        <v>0</v>
      </c>
      <c r="N3984" t="n">
        <v>0</v>
      </c>
      <c r="O3984" t="n">
        <v>0</v>
      </c>
      <c r="P3984" t="n">
        <v>0</v>
      </c>
      <c r="Q3984" t="n">
        <v>0</v>
      </c>
      <c r="R3984" s="2" t="inlineStr"/>
    </row>
    <row r="3985" ht="15" customHeight="1">
      <c r="A3985" t="inlineStr">
        <is>
          <t>A 57539-2022</t>
        </is>
      </c>
      <c r="B3985" s="1" t="n">
        <v>44896.69921296297</v>
      </c>
      <c r="C3985" s="1" t="n">
        <v>45962</v>
      </c>
      <c r="D3985" t="inlineStr">
        <is>
          <t>SKÅNE LÄN</t>
        </is>
      </c>
      <c r="E3985" t="inlineStr">
        <is>
          <t>ÖSTRA GÖINGE</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57547-2022</t>
        </is>
      </c>
      <c r="B3986" s="1" t="n">
        <v>44896.7287037037</v>
      </c>
      <c r="C3986" s="1" t="n">
        <v>45962</v>
      </c>
      <c r="D3986" t="inlineStr">
        <is>
          <t>SKÅNE LÄN</t>
        </is>
      </c>
      <c r="E3986" t="inlineStr">
        <is>
          <t>ÖSTRA GÖINGE</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58154-2024</t>
        </is>
      </c>
      <c r="B3987" s="1" t="n">
        <v>45632.44180555556</v>
      </c>
      <c r="C3987" s="1" t="n">
        <v>45962</v>
      </c>
      <c r="D3987" t="inlineStr">
        <is>
          <t>SKÅNE LÄN</t>
        </is>
      </c>
      <c r="E3987" t="inlineStr">
        <is>
          <t>OSBY</t>
        </is>
      </c>
      <c r="G3987" t="n">
        <v>4.9</v>
      </c>
      <c r="H3987" t="n">
        <v>0</v>
      </c>
      <c r="I3987" t="n">
        <v>0</v>
      </c>
      <c r="J3987" t="n">
        <v>0</v>
      </c>
      <c r="K3987" t="n">
        <v>0</v>
      </c>
      <c r="L3987" t="n">
        <v>0</v>
      </c>
      <c r="M3987" t="n">
        <v>0</v>
      </c>
      <c r="N3987" t="n">
        <v>0</v>
      </c>
      <c r="O3987" t="n">
        <v>0</v>
      </c>
      <c r="P3987" t="n">
        <v>0</v>
      </c>
      <c r="Q3987" t="n">
        <v>0</v>
      </c>
      <c r="R3987" s="2" t="inlineStr"/>
    </row>
    <row r="3988" ht="15" customHeight="1">
      <c r="A3988" t="inlineStr">
        <is>
          <t>A 57647-2024</t>
        </is>
      </c>
      <c r="B3988" s="1" t="n">
        <v>45630</v>
      </c>
      <c r="C3988" s="1" t="n">
        <v>45962</v>
      </c>
      <c r="D3988" t="inlineStr">
        <is>
          <t>SKÅNE LÄN</t>
        </is>
      </c>
      <c r="E3988" t="inlineStr">
        <is>
          <t>HÄSSLEHOLM</t>
        </is>
      </c>
      <c r="G3988" t="n">
        <v>2.9</v>
      </c>
      <c r="H3988" t="n">
        <v>0</v>
      </c>
      <c r="I3988" t="n">
        <v>0</v>
      </c>
      <c r="J3988" t="n">
        <v>0</v>
      </c>
      <c r="K3988" t="n">
        <v>0</v>
      </c>
      <c r="L3988" t="n">
        <v>0</v>
      </c>
      <c r="M3988" t="n">
        <v>0</v>
      </c>
      <c r="N3988" t="n">
        <v>0</v>
      </c>
      <c r="O3988" t="n">
        <v>0</v>
      </c>
      <c r="P3988" t="n">
        <v>0</v>
      </c>
      <c r="Q3988" t="n">
        <v>0</v>
      </c>
      <c r="R3988" s="2" t="inlineStr"/>
    </row>
    <row r="3989" ht="15" customHeight="1">
      <c r="A3989" t="inlineStr">
        <is>
          <t>A 34040-2025</t>
        </is>
      </c>
      <c r="B3989" s="1" t="n">
        <v>45845.37525462963</v>
      </c>
      <c r="C3989" s="1" t="n">
        <v>45962</v>
      </c>
      <c r="D3989" t="inlineStr">
        <is>
          <t>SKÅNE LÄN</t>
        </is>
      </c>
      <c r="E3989" t="inlineStr">
        <is>
          <t>ÖSTRA GÖINGE</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34053-2025</t>
        </is>
      </c>
      <c r="B3990" s="1" t="n">
        <v>45845.40922453703</v>
      </c>
      <c r="C3990" s="1" t="n">
        <v>45962</v>
      </c>
      <c r="D3990" t="inlineStr">
        <is>
          <t>SKÅNE LÄN</t>
        </is>
      </c>
      <c r="E3990" t="inlineStr">
        <is>
          <t>OSBY</t>
        </is>
      </c>
      <c r="G3990" t="n">
        <v>11</v>
      </c>
      <c r="H3990" t="n">
        <v>0</v>
      </c>
      <c r="I3990" t="n">
        <v>0</v>
      </c>
      <c r="J3990" t="n">
        <v>0</v>
      </c>
      <c r="K3990" t="n">
        <v>0</v>
      </c>
      <c r="L3990" t="n">
        <v>0</v>
      </c>
      <c r="M3990" t="n">
        <v>0</v>
      </c>
      <c r="N3990" t="n">
        <v>0</v>
      </c>
      <c r="O3990" t="n">
        <v>0</v>
      </c>
      <c r="P3990" t="n">
        <v>0</v>
      </c>
      <c r="Q3990" t="n">
        <v>0</v>
      </c>
      <c r="R3990" s="2" t="inlineStr"/>
    </row>
    <row r="3991" ht="15" customHeight="1">
      <c r="A3991" t="inlineStr">
        <is>
          <t>A 9769-2024</t>
        </is>
      </c>
      <c r="B3991" s="1" t="n">
        <v>45362</v>
      </c>
      <c r="C3991" s="1" t="n">
        <v>45962</v>
      </c>
      <c r="D3991" t="inlineStr">
        <is>
          <t>SKÅNE LÄN</t>
        </is>
      </c>
      <c r="E3991" t="inlineStr">
        <is>
          <t>ÖSTRA GÖINGE</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19626-2021</t>
        </is>
      </c>
      <c r="B3992" s="1" t="n">
        <v>44309</v>
      </c>
      <c r="C3992" s="1" t="n">
        <v>45962</v>
      </c>
      <c r="D3992" t="inlineStr">
        <is>
          <t>SKÅNE LÄN</t>
        </is>
      </c>
      <c r="E3992" t="inlineStr">
        <is>
          <t>SVALÖV</t>
        </is>
      </c>
      <c r="G3992" t="n">
        <v>17.8</v>
      </c>
      <c r="H3992" t="n">
        <v>0</v>
      </c>
      <c r="I3992" t="n">
        <v>0</v>
      </c>
      <c r="J3992" t="n">
        <v>0</v>
      </c>
      <c r="K3992" t="n">
        <v>0</v>
      </c>
      <c r="L3992" t="n">
        <v>0</v>
      </c>
      <c r="M3992" t="n">
        <v>0</v>
      </c>
      <c r="N3992" t="n">
        <v>0</v>
      </c>
      <c r="O3992" t="n">
        <v>0</v>
      </c>
      <c r="P3992" t="n">
        <v>0</v>
      </c>
      <c r="Q3992" t="n">
        <v>0</v>
      </c>
      <c r="R3992" s="2" t="inlineStr"/>
    </row>
    <row r="3993" ht="15" customHeight="1">
      <c r="A3993" t="inlineStr">
        <is>
          <t>A 17980-2025</t>
        </is>
      </c>
      <c r="B3993" s="1" t="n">
        <v>45761.36854166666</v>
      </c>
      <c r="C3993" s="1" t="n">
        <v>45962</v>
      </c>
      <c r="D3993" t="inlineStr">
        <is>
          <t>SKÅNE LÄN</t>
        </is>
      </c>
      <c r="E3993" t="inlineStr">
        <is>
          <t>SVALÖV</t>
        </is>
      </c>
      <c r="G3993" t="n">
        <v>3.4</v>
      </c>
      <c r="H3993" t="n">
        <v>0</v>
      </c>
      <c r="I3993" t="n">
        <v>0</v>
      </c>
      <c r="J3993" t="n">
        <v>0</v>
      </c>
      <c r="K3993" t="n">
        <v>0</v>
      </c>
      <c r="L3993" t="n">
        <v>0</v>
      </c>
      <c r="M3993" t="n">
        <v>0</v>
      </c>
      <c r="N3993" t="n">
        <v>0</v>
      </c>
      <c r="O3993" t="n">
        <v>0</v>
      </c>
      <c r="P3993" t="n">
        <v>0</v>
      </c>
      <c r="Q3993" t="n">
        <v>0</v>
      </c>
      <c r="R3993" s="2" t="inlineStr"/>
    </row>
    <row r="3994" ht="15" customHeight="1">
      <c r="A3994" t="inlineStr">
        <is>
          <t>A 34047-2025</t>
        </is>
      </c>
      <c r="B3994" s="1" t="n">
        <v>45845.38695601852</v>
      </c>
      <c r="C3994" s="1" t="n">
        <v>45962</v>
      </c>
      <c r="D3994" t="inlineStr">
        <is>
          <t>SKÅNE LÄN</t>
        </is>
      </c>
      <c r="E3994" t="inlineStr">
        <is>
          <t>OSBY</t>
        </is>
      </c>
      <c r="G3994" t="n">
        <v>8.800000000000001</v>
      </c>
      <c r="H3994" t="n">
        <v>0</v>
      </c>
      <c r="I3994" t="n">
        <v>0</v>
      </c>
      <c r="J3994" t="n">
        <v>0</v>
      </c>
      <c r="K3994" t="n">
        <v>0</v>
      </c>
      <c r="L3994" t="n">
        <v>0</v>
      </c>
      <c r="M3994" t="n">
        <v>0</v>
      </c>
      <c r="N3994" t="n">
        <v>0</v>
      </c>
      <c r="O3994" t="n">
        <v>0</v>
      </c>
      <c r="P3994" t="n">
        <v>0</v>
      </c>
      <c r="Q3994" t="n">
        <v>0</v>
      </c>
      <c r="R3994" s="2" t="inlineStr"/>
    </row>
    <row r="3995" ht="15" customHeight="1">
      <c r="A3995" t="inlineStr">
        <is>
          <t>A 20564-2023</t>
        </is>
      </c>
      <c r="B3995" s="1" t="n">
        <v>45057</v>
      </c>
      <c r="C3995" s="1" t="n">
        <v>45962</v>
      </c>
      <c r="D3995" t="inlineStr">
        <is>
          <t>SKÅNE LÄN</t>
        </is>
      </c>
      <c r="E3995" t="inlineStr">
        <is>
          <t>HÄSSLEHOLM</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47584-2023</t>
        </is>
      </c>
      <c r="B3996" s="1" t="n">
        <v>45203.43324074074</v>
      </c>
      <c r="C3996" s="1" t="n">
        <v>45962</v>
      </c>
      <c r="D3996" t="inlineStr">
        <is>
          <t>SKÅNE LÄN</t>
        </is>
      </c>
      <c r="E3996" t="inlineStr">
        <is>
          <t>ÖSTRA GÖINGE</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34223-2025</t>
        </is>
      </c>
      <c r="B3997" s="1" t="n">
        <v>45844</v>
      </c>
      <c r="C3997" s="1" t="n">
        <v>45962</v>
      </c>
      <c r="D3997" t="inlineStr">
        <is>
          <t>SKÅNE LÄN</t>
        </is>
      </c>
      <c r="E3997" t="inlineStr">
        <is>
          <t>OSBY</t>
        </is>
      </c>
      <c r="F3997" t="inlineStr">
        <is>
          <t>Naturvårdsverket</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42105-2022</t>
        </is>
      </c>
      <c r="B3998" s="1" t="n">
        <v>44830.55204861111</v>
      </c>
      <c r="C3998" s="1" t="n">
        <v>45962</v>
      </c>
      <c r="D3998" t="inlineStr">
        <is>
          <t>SKÅNE LÄN</t>
        </is>
      </c>
      <c r="E3998" t="inlineStr">
        <is>
          <t>ÄNGELHOLM</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43660-2024</t>
        </is>
      </c>
      <c r="B3999" s="1" t="n">
        <v>45569.54984953703</v>
      </c>
      <c r="C3999" s="1" t="n">
        <v>45962</v>
      </c>
      <c r="D3999" t="inlineStr">
        <is>
          <t>SKÅNE LÄN</t>
        </is>
      </c>
      <c r="E3999" t="inlineStr">
        <is>
          <t>ÖSTRA GÖINGE</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46641-2023</t>
        </is>
      </c>
      <c r="B4000" s="1" t="n">
        <v>45198.44523148148</v>
      </c>
      <c r="C4000" s="1" t="n">
        <v>45962</v>
      </c>
      <c r="D4000" t="inlineStr">
        <is>
          <t>SKÅNE LÄN</t>
        </is>
      </c>
      <c r="E4000" t="inlineStr">
        <is>
          <t>HÄSSLEHOLM</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33875-2025</t>
        </is>
      </c>
      <c r="B4001" s="1" t="n">
        <v>45842.55300925926</v>
      </c>
      <c r="C4001" s="1" t="n">
        <v>45962</v>
      </c>
      <c r="D4001" t="inlineStr">
        <is>
          <t>SKÅNE LÄN</t>
        </is>
      </c>
      <c r="E4001" t="inlineStr">
        <is>
          <t>HÄSSLEHOLM</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8239-2025</t>
        </is>
      </c>
      <c r="B4002" s="1" t="n">
        <v>45708.47984953703</v>
      </c>
      <c r="C4002" s="1" t="n">
        <v>45962</v>
      </c>
      <c r="D4002" t="inlineStr">
        <is>
          <t>SKÅNE LÄN</t>
        </is>
      </c>
      <c r="E4002" t="inlineStr">
        <is>
          <t>HÄSSLEHOLM</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46645-2023</t>
        </is>
      </c>
      <c r="B4003" s="1" t="n">
        <v>45198.44686342592</v>
      </c>
      <c r="C4003" s="1" t="n">
        <v>45962</v>
      </c>
      <c r="D4003" t="inlineStr">
        <is>
          <t>SKÅNE LÄN</t>
        </is>
      </c>
      <c r="E4003" t="inlineStr">
        <is>
          <t>HÄSSLEHOLM</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34197-2025</t>
        </is>
      </c>
      <c r="B4004" s="1" t="n">
        <v>45844</v>
      </c>
      <c r="C4004" s="1" t="n">
        <v>45962</v>
      </c>
      <c r="D4004" t="inlineStr">
        <is>
          <t>SKÅNE LÄN</t>
        </is>
      </c>
      <c r="E4004" t="inlineStr">
        <is>
          <t>OSBY</t>
        </is>
      </c>
      <c r="F4004" t="inlineStr">
        <is>
          <t>Naturvårdsverket</t>
        </is>
      </c>
      <c r="G4004" t="n">
        <v>10.2</v>
      </c>
      <c r="H4004" t="n">
        <v>0</v>
      </c>
      <c r="I4004" t="n">
        <v>0</v>
      </c>
      <c r="J4004" t="n">
        <v>0</v>
      </c>
      <c r="K4004" t="n">
        <v>0</v>
      </c>
      <c r="L4004" t="n">
        <v>0</v>
      </c>
      <c r="M4004" t="n">
        <v>0</v>
      </c>
      <c r="N4004" t="n">
        <v>0</v>
      </c>
      <c r="O4004" t="n">
        <v>0</v>
      </c>
      <c r="P4004" t="n">
        <v>0</v>
      </c>
      <c r="Q4004" t="n">
        <v>0</v>
      </c>
      <c r="R4004" s="2" t="inlineStr"/>
    </row>
    <row r="4005" ht="15" customHeight="1">
      <c r="A4005" t="inlineStr">
        <is>
          <t>A 27426-2024</t>
        </is>
      </c>
      <c r="B4005" s="1" t="n">
        <v>45474.39143518519</v>
      </c>
      <c r="C4005" s="1" t="n">
        <v>45962</v>
      </c>
      <c r="D4005" t="inlineStr">
        <is>
          <t>SKÅNE LÄN</t>
        </is>
      </c>
      <c r="E4005" t="inlineStr">
        <is>
          <t>SIMRISHAMN</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34173-2025</t>
        </is>
      </c>
      <c r="B4006" s="1" t="n">
        <v>45845.5909837963</v>
      </c>
      <c r="C4006" s="1" t="n">
        <v>45962</v>
      </c>
      <c r="D4006" t="inlineStr">
        <is>
          <t>SKÅNE LÄN</t>
        </is>
      </c>
      <c r="E4006" t="inlineStr">
        <is>
          <t>SJÖBO</t>
        </is>
      </c>
      <c r="G4006" t="n">
        <v>5</v>
      </c>
      <c r="H4006" t="n">
        <v>0</v>
      </c>
      <c r="I4006" t="n">
        <v>0</v>
      </c>
      <c r="J4006" t="n">
        <v>0</v>
      </c>
      <c r="K4006" t="n">
        <v>0</v>
      </c>
      <c r="L4006" t="n">
        <v>0</v>
      </c>
      <c r="M4006" t="n">
        <v>0</v>
      </c>
      <c r="N4006" t="n">
        <v>0</v>
      </c>
      <c r="O4006" t="n">
        <v>0</v>
      </c>
      <c r="P4006" t="n">
        <v>0</v>
      </c>
      <c r="Q4006" t="n">
        <v>0</v>
      </c>
      <c r="R4006" s="2" t="inlineStr"/>
    </row>
    <row r="4007" ht="15" customHeight="1">
      <c r="A4007" t="inlineStr">
        <is>
          <t>A 59145-2020</t>
        </is>
      </c>
      <c r="B4007" s="1" t="n">
        <v>44147</v>
      </c>
      <c r="C4007" s="1" t="n">
        <v>45962</v>
      </c>
      <c r="D4007" t="inlineStr">
        <is>
          <t>SKÅNE LÄN</t>
        </is>
      </c>
      <c r="E4007" t="inlineStr">
        <is>
          <t>HÖÖR</t>
        </is>
      </c>
      <c r="G4007" t="n">
        <v>2.8</v>
      </c>
      <c r="H4007" t="n">
        <v>0</v>
      </c>
      <c r="I4007" t="n">
        <v>0</v>
      </c>
      <c r="J4007" t="n">
        <v>0</v>
      </c>
      <c r="K4007" t="n">
        <v>0</v>
      </c>
      <c r="L4007" t="n">
        <v>0</v>
      </c>
      <c r="M4007" t="n">
        <v>0</v>
      </c>
      <c r="N4007" t="n">
        <v>0</v>
      </c>
      <c r="O4007" t="n">
        <v>0</v>
      </c>
      <c r="P4007" t="n">
        <v>0</v>
      </c>
      <c r="Q4007" t="n">
        <v>0</v>
      </c>
      <c r="R4007" s="2" t="inlineStr"/>
    </row>
    <row r="4008" ht="15" customHeight="1">
      <c r="A4008" t="inlineStr">
        <is>
          <t>A 34227-2025</t>
        </is>
      </c>
      <c r="B4008" s="1" t="n">
        <v>45844</v>
      </c>
      <c r="C4008" s="1" t="n">
        <v>45962</v>
      </c>
      <c r="D4008" t="inlineStr">
        <is>
          <t>SKÅNE LÄN</t>
        </is>
      </c>
      <c r="E4008" t="inlineStr">
        <is>
          <t>OSBY</t>
        </is>
      </c>
      <c r="G4008" t="n">
        <v>3.8</v>
      </c>
      <c r="H4008" t="n">
        <v>0</v>
      </c>
      <c r="I4008" t="n">
        <v>0</v>
      </c>
      <c r="J4008" t="n">
        <v>0</v>
      </c>
      <c r="K4008" t="n">
        <v>0</v>
      </c>
      <c r="L4008" t="n">
        <v>0</v>
      </c>
      <c r="M4008" t="n">
        <v>0</v>
      </c>
      <c r="N4008" t="n">
        <v>0</v>
      </c>
      <c r="O4008" t="n">
        <v>0</v>
      </c>
      <c r="P4008" t="n">
        <v>0</v>
      </c>
      <c r="Q4008" t="n">
        <v>0</v>
      </c>
      <c r="R4008" s="2" t="inlineStr"/>
    </row>
    <row r="4009" ht="15" customHeight="1">
      <c r="A4009" t="inlineStr">
        <is>
          <t>A 34204-2025</t>
        </is>
      </c>
      <c r="B4009" s="1" t="n">
        <v>45844</v>
      </c>
      <c r="C4009" s="1" t="n">
        <v>45962</v>
      </c>
      <c r="D4009" t="inlineStr">
        <is>
          <t>SKÅNE LÄN</t>
        </is>
      </c>
      <c r="E4009" t="inlineStr">
        <is>
          <t>OSBY</t>
        </is>
      </c>
      <c r="F4009" t="inlineStr">
        <is>
          <t>Naturvårdsverket</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43879-2023</t>
        </is>
      </c>
      <c r="B4010" s="1" t="n">
        <v>45187</v>
      </c>
      <c r="C4010" s="1" t="n">
        <v>45962</v>
      </c>
      <c r="D4010" t="inlineStr">
        <is>
          <t>SKÅNE LÄN</t>
        </is>
      </c>
      <c r="E4010" t="inlineStr">
        <is>
          <t>HÖRBY</t>
        </is>
      </c>
      <c r="F4010" t="inlineStr">
        <is>
          <t>Sveaskog</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1616-2025</t>
        </is>
      </c>
      <c r="B4011" s="1" t="n">
        <v>45670</v>
      </c>
      <c r="C4011" s="1" t="n">
        <v>45962</v>
      </c>
      <c r="D4011" t="inlineStr">
        <is>
          <t>SKÅNE LÄN</t>
        </is>
      </c>
      <c r="E4011" t="inlineStr">
        <is>
          <t>HÄSSLEHOLM</t>
        </is>
      </c>
      <c r="G4011" t="n">
        <v>3.6</v>
      </c>
      <c r="H4011" t="n">
        <v>0</v>
      </c>
      <c r="I4011" t="n">
        <v>0</v>
      </c>
      <c r="J4011" t="n">
        <v>0</v>
      </c>
      <c r="K4011" t="n">
        <v>0</v>
      </c>
      <c r="L4011" t="n">
        <v>0</v>
      </c>
      <c r="M4011" t="n">
        <v>0</v>
      </c>
      <c r="N4011" t="n">
        <v>0</v>
      </c>
      <c r="O4011" t="n">
        <v>0</v>
      </c>
      <c r="P4011" t="n">
        <v>0</v>
      </c>
      <c r="Q4011" t="n">
        <v>0</v>
      </c>
      <c r="R4011" s="2" t="inlineStr"/>
    </row>
    <row r="4012" ht="15" customHeight="1">
      <c r="A4012" t="inlineStr">
        <is>
          <t>A 34236-2025</t>
        </is>
      </c>
      <c r="B4012" s="1" t="n">
        <v>45845.66458333333</v>
      </c>
      <c r="C4012" s="1" t="n">
        <v>45962</v>
      </c>
      <c r="D4012" t="inlineStr">
        <is>
          <t>SKÅNE LÄN</t>
        </is>
      </c>
      <c r="E4012" t="inlineStr">
        <is>
          <t>PERSTORP</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33877-2025</t>
        </is>
      </c>
      <c r="B4013" s="1" t="n">
        <v>45842.55564814815</v>
      </c>
      <c r="C4013" s="1" t="n">
        <v>45962</v>
      </c>
      <c r="D4013" t="inlineStr">
        <is>
          <t>SKÅNE LÄN</t>
        </is>
      </c>
      <c r="E4013" t="inlineStr">
        <is>
          <t>HÄSSLEHOLM</t>
        </is>
      </c>
      <c r="G4013" t="n">
        <v>3.9</v>
      </c>
      <c r="H4013" t="n">
        <v>0</v>
      </c>
      <c r="I4013" t="n">
        <v>0</v>
      </c>
      <c r="J4013" t="n">
        <v>0</v>
      </c>
      <c r="K4013" t="n">
        <v>0</v>
      </c>
      <c r="L4013" t="n">
        <v>0</v>
      </c>
      <c r="M4013" t="n">
        <v>0</v>
      </c>
      <c r="N4013" t="n">
        <v>0</v>
      </c>
      <c r="O4013" t="n">
        <v>0</v>
      </c>
      <c r="P4013" t="n">
        <v>0</v>
      </c>
      <c r="Q4013" t="n">
        <v>0</v>
      </c>
      <c r="R4013" s="2" t="inlineStr"/>
    </row>
    <row r="4014" ht="15" customHeight="1">
      <c r="A4014" t="inlineStr">
        <is>
          <t>A 33879-2025</t>
        </is>
      </c>
      <c r="B4014" s="1" t="n">
        <v>45842.55766203703</v>
      </c>
      <c r="C4014" s="1" t="n">
        <v>45962</v>
      </c>
      <c r="D4014" t="inlineStr">
        <is>
          <t>SKÅNE LÄN</t>
        </is>
      </c>
      <c r="E4014" t="inlineStr">
        <is>
          <t>HÄSSLEHOLM</t>
        </is>
      </c>
      <c r="G4014" t="n">
        <v>6.1</v>
      </c>
      <c r="H4014" t="n">
        <v>0</v>
      </c>
      <c r="I4014" t="n">
        <v>0</v>
      </c>
      <c r="J4014" t="n">
        <v>0</v>
      </c>
      <c r="K4014" t="n">
        <v>0</v>
      </c>
      <c r="L4014" t="n">
        <v>0</v>
      </c>
      <c r="M4014" t="n">
        <v>0</v>
      </c>
      <c r="N4014" t="n">
        <v>0</v>
      </c>
      <c r="O4014" t="n">
        <v>0</v>
      </c>
      <c r="P4014" t="n">
        <v>0</v>
      </c>
      <c r="Q4014" t="n">
        <v>0</v>
      </c>
      <c r="R4014" s="2" t="inlineStr"/>
    </row>
    <row r="4015" ht="15" customHeight="1">
      <c r="A4015" t="inlineStr">
        <is>
          <t>A 27813-2023</t>
        </is>
      </c>
      <c r="B4015" s="1" t="n">
        <v>45098</v>
      </c>
      <c r="C4015" s="1" t="n">
        <v>45962</v>
      </c>
      <c r="D4015" t="inlineStr">
        <is>
          <t>SKÅNE LÄN</t>
        </is>
      </c>
      <c r="E4015" t="inlineStr">
        <is>
          <t>KLIPPAN</t>
        </is>
      </c>
      <c r="G4015" t="n">
        <v>1.3</v>
      </c>
      <c r="H4015" t="n">
        <v>0</v>
      </c>
      <c r="I4015" t="n">
        <v>0</v>
      </c>
      <c r="J4015" t="n">
        <v>0</v>
      </c>
      <c r="K4015" t="n">
        <v>0</v>
      </c>
      <c r="L4015" t="n">
        <v>0</v>
      </c>
      <c r="M4015" t="n">
        <v>0</v>
      </c>
      <c r="N4015" t="n">
        <v>0</v>
      </c>
      <c r="O4015" t="n">
        <v>0</v>
      </c>
      <c r="P4015" t="n">
        <v>0</v>
      </c>
      <c r="Q4015" t="n">
        <v>0</v>
      </c>
      <c r="R4015" s="2" t="inlineStr"/>
    </row>
    <row r="4016" ht="15" customHeight="1">
      <c r="A4016" t="inlineStr">
        <is>
          <t>A 52495-2024</t>
        </is>
      </c>
      <c r="B4016" s="1" t="n">
        <v>45609.57256944444</v>
      </c>
      <c r="C4016" s="1" t="n">
        <v>45962</v>
      </c>
      <c r="D4016" t="inlineStr">
        <is>
          <t>SKÅNE LÄN</t>
        </is>
      </c>
      <c r="E4016" t="inlineStr">
        <is>
          <t>KRISTIANSTAD</t>
        </is>
      </c>
      <c r="G4016" t="n">
        <v>3.6</v>
      </c>
      <c r="H4016" t="n">
        <v>0</v>
      </c>
      <c r="I4016" t="n">
        <v>0</v>
      </c>
      <c r="J4016" t="n">
        <v>0</v>
      </c>
      <c r="K4016" t="n">
        <v>0</v>
      </c>
      <c r="L4016" t="n">
        <v>0</v>
      </c>
      <c r="M4016" t="n">
        <v>0</v>
      </c>
      <c r="N4016" t="n">
        <v>0</v>
      </c>
      <c r="O4016" t="n">
        <v>0</v>
      </c>
      <c r="P4016" t="n">
        <v>0</v>
      </c>
      <c r="Q4016" t="n">
        <v>0</v>
      </c>
      <c r="R4016" s="2" t="inlineStr"/>
    </row>
    <row r="4017" ht="15" customHeight="1">
      <c r="A4017" t="inlineStr">
        <is>
          <t>A 11454-2023</t>
        </is>
      </c>
      <c r="B4017" s="1" t="n">
        <v>44993</v>
      </c>
      <c r="C4017" s="1" t="n">
        <v>45962</v>
      </c>
      <c r="D4017" t="inlineStr">
        <is>
          <t>SKÅNE LÄN</t>
        </is>
      </c>
      <c r="E4017" t="inlineStr">
        <is>
          <t>BROMÖLLA</t>
        </is>
      </c>
      <c r="G4017" t="n">
        <v>3.3</v>
      </c>
      <c r="H4017" t="n">
        <v>0</v>
      </c>
      <c r="I4017" t="n">
        <v>0</v>
      </c>
      <c r="J4017" t="n">
        <v>0</v>
      </c>
      <c r="K4017" t="n">
        <v>0</v>
      </c>
      <c r="L4017" t="n">
        <v>0</v>
      </c>
      <c r="M4017" t="n">
        <v>0</v>
      </c>
      <c r="N4017" t="n">
        <v>0</v>
      </c>
      <c r="O4017" t="n">
        <v>0</v>
      </c>
      <c r="P4017" t="n">
        <v>0</v>
      </c>
      <c r="Q4017" t="n">
        <v>0</v>
      </c>
      <c r="R4017" s="2" t="inlineStr"/>
    </row>
    <row r="4018" ht="15" customHeight="1">
      <c r="A4018" t="inlineStr">
        <is>
          <t>A 31986-2023</t>
        </is>
      </c>
      <c r="B4018" s="1" t="n">
        <v>45119</v>
      </c>
      <c r="C4018" s="1" t="n">
        <v>45962</v>
      </c>
      <c r="D4018" t="inlineStr">
        <is>
          <t>SKÅNE LÄN</t>
        </is>
      </c>
      <c r="E4018" t="inlineStr">
        <is>
          <t>HÄSSLEHOLM</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33761-2025</t>
        </is>
      </c>
      <c r="B4019" s="1" t="n">
        <v>45842.38335648148</v>
      </c>
      <c r="C4019" s="1" t="n">
        <v>45962</v>
      </c>
      <c r="D4019" t="inlineStr">
        <is>
          <t>SKÅNE LÄN</t>
        </is>
      </c>
      <c r="E4019" t="inlineStr">
        <is>
          <t>KLIPPAN</t>
        </is>
      </c>
      <c r="G4019" t="n">
        <v>3.4</v>
      </c>
      <c r="H4019" t="n">
        <v>0</v>
      </c>
      <c r="I4019" t="n">
        <v>0</v>
      </c>
      <c r="J4019" t="n">
        <v>0</v>
      </c>
      <c r="K4019" t="n">
        <v>0</v>
      </c>
      <c r="L4019" t="n">
        <v>0</v>
      </c>
      <c r="M4019" t="n">
        <v>0</v>
      </c>
      <c r="N4019" t="n">
        <v>0</v>
      </c>
      <c r="O4019" t="n">
        <v>0</v>
      </c>
      <c r="P4019" t="n">
        <v>0</v>
      </c>
      <c r="Q4019" t="n">
        <v>0</v>
      </c>
      <c r="R4019" s="2" t="inlineStr"/>
    </row>
    <row r="4020" ht="15" customHeight="1">
      <c r="A4020" t="inlineStr">
        <is>
          <t>A 17400-2023</t>
        </is>
      </c>
      <c r="B4020" s="1" t="n">
        <v>45035</v>
      </c>
      <c r="C4020" s="1" t="n">
        <v>45962</v>
      </c>
      <c r="D4020" t="inlineStr">
        <is>
          <t>SKÅNE LÄN</t>
        </is>
      </c>
      <c r="E4020" t="inlineStr">
        <is>
          <t>KRISTIANSTAD</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58387-2022</t>
        </is>
      </c>
      <c r="B4021" s="1" t="n">
        <v>44901</v>
      </c>
      <c r="C4021" s="1" t="n">
        <v>45962</v>
      </c>
      <c r="D4021" t="inlineStr">
        <is>
          <t>SKÅNE LÄN</t>
        </is>
      </c>
      <c r="E4021" t="inlineStr">
        <is>
          <t>KLIPPAN</t>
        </is>
      </c>
      <c r="F4021" t="inlineStr">
        <is>
          <t>Kommuner</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3769-2024</t>
        </is>
      </c>
      <c r="B4022" s="1" t="n">
        <v>45321</v>
      </c>
      <c r="C4022" s="1" t="n">
        <v>45962</v>
      </c>
      <c r="D4022" t="inlineStr">
        <is>
          <t>SKÅNE LÄN</t>
        </is>
      </c>
      <c r="E4022" t="inlineStr">
        <is>
          <t>KRISTIANSTAD</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37756-2024</t>
        </is>
      </c>
      <c r="B4023" s="1" t="n">
        <v>45541.74803240741</v>
      </c>
      <c r="C4023" s="1" t="n">
        <v>45962</v>
      </c>
      <c r="D4023" t="inlineStr">
        <is>
          <t>SKÅNE LÄN</t>
        </is>
      </c>
      <c r="E4023" t="inlineStr">
        <is>
          <t>HÖRBY</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62044-2022</t>
        </is>
      </c>
      <c r="B4024" s="1" t="n">
        <v>44918.55976851852</v>
      </c>
      <c r="C4024" s="1" t="n">
        <v>45962</v>
      </c>
      <c r="D4024" t="inlineStr">
        <is>
          <t>SKÅNE LÄN</t>
        </is>
      </c>
      <c r="E4024" t="inlineStr">
        <is>
          <t>HÄSSLEHOLM</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13591-2021</t>
        </is>
      </c>
      <c r="B4025" s="1" t="n">
        <v>44274</v>
      </c>
      <c r="C4025" s="1" t="n">
        <v>45962</v>
      </c>
      <c r="D4025" t="inlineStr">
        <is>
          <t>SKÅNE LÄN</t>
        </is>
      </c>
      <c r="E4025" t="inlineStr">
        <is>
          <t>KRISTIANSTAD</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7745-2025</t>
        </is>
      </c>
      <c r="B4026" s="1" t="n">
        <v>45706</v>
      </c>
      <c r="C4026" s="1" t="n">
        <v>45962</v>
      </c>
      <c r="D4026" t="inlineStr">
        <is>
          <t>SKÅNE LÄN</t>
        </is>
      </c>
      <c r="E4026" t="inlineStr">
        <is>
          <t>TOMELILLA</t>
        </is>
      </c>
      <c r="G4026" t="n">
        <v>0.4</v>
      </c>
      <c r="H4026" t="n">
        <v>0</v>
      </c>
      <c r="I4026" t="n">
        <v>0</v>
      </c>
      <c r="J4026" t="n">
        <v>0</v>
      </c>
      <c r="K4026" t="n">
        <v>0</v>
      </c>
      <c r="L4026" t="n">
        <v>0</v>
      </c>
      <c r="M4026" t="n">
        <v>0</v>
      </c>
      <c r="N4026" t="n">
        <v>0</v>
      </c>
      <c r="O4026" t="n">
        <v>0</v>
      </c>
      <c r="P4026" t="n">
        <v>0</v>
      </c>
      <c r="Q4026" t="n">
        <v>0</v>
      </c>
      <c r="R4026" s="2" t="inlineStr"/>
    </row>
    <row r="4027" ht="15" customHeight="1">
      <c r="A4027" t="inlineStr">
        <is>
          <t>A 1733-2024</t>
        </is>
      </c>
      <c r="B4027" s="1" t="n">
        <v>45307</v>
      </c>
      <c r="C4027" s="1" t="n">
        <v>45962</v>
      </c>
      <c r="D4027" t="inlineStr">
        <is>
          <t>SKÅNE LÄN</t>
        </is>
      </c>
      <c r="E4027" t="inlineStr">
        <is>
          <t>KRISTIANSTAD</t>
        </is>
      </c>
      <c r="G4027" t="n">
        <v>7</v>
      </c>
      <c r="H4027" t="n">
        <v>0</v>
      </c>
      <c r="I4027" t="n">
        <v>0</v>
      </c>
      <c r="J4027" t="n">
        <v>0</v>
      </c>
      <c r="K4027" t="n">
        <v>0</v>
      </c>
      <c r="L4027" t="n">
        <v>0</v>
      </c>
      <c r="M4027" t="n">
        <v>0</v>
      </c>
      <c r="N4027" t="n">
        <v>0</v>
      </c>
      <c r="O4027" t="n">
        <v>0</v>
      </c>
      <c r="P4027" t="n">
        <v>0</v>
      </c>
      <c r="Q4027" t="n">
        <v>0</v>
      </c>
      <c r="R4027" s="2" t="inlineStr"/>
    </row>
    <row r="4028" ht="15" customHeight="1">
      <c r="A4028" t="inlineStr">
        <is>
          <t>A 7831-2025</t>
        </is>
      </c>
      <c r="B4028" s="1" t="n">
        <v>45706</v>
      </c>
      <c r="C4028" s="1" t="n">
        <v>45962</v>
      </c>
      <c r="D4028" t="inlineStr">
        <is>
          <t>SKÅNE LÄN</t>
        </is>
      </c>
      <c r="E4028" t="inlineStr">
        <is>
          <t>HÖRBY</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50366-2021</t>
        </is>
      </c>
      <c r="B4029" s="1" t="n">
        <v>44455</v>
      </c>
      <c r="C4029" s="1" t="n">
        <v>45962</v>
      </c>
      <c r="D4029" t="inlineStr">
        <is>
          <t>SKÅNE LÄN</t>
        </is>
      </c>
      <c r="E4029" t="inlineStr">
        <is>
          <t>OSBY</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6619-2024</t>
        </is>
      </c>
      <c r="B4030" s="1" t="n">
        <v>45341.6021412037</v>
      </c>
      <c r="C4030" s="1" t="n">
        <v>45962</v>
      </c>
      <c r="D4030" t="inlineStr">
        <is>
          <t>SKÅNE LÄN</t>
        </is>
      </c>
      <c r="E4030" t="inlineStr">
        <is>
          <t>HÄSSLEHOLM</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36229-2024</t>
        </is>
      </c>
      <c r="B4031" s="1" t="n">
        <v>45534.48851851852</v>
      </c>
      <c r="C4031" s="1" t="n">
        <v>45962</v>
      </c>
      <c r="D4031" t="inlineStr">
        <is>
          <t>SKÅNE LÄN</t>
        </is>
      </c>
      <c r="E4031" t="inlineStr">
        <is>
          <t>OSBY</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36232-2024</t>
        </is>
      </c>
      <c r="B4032" s="1" t="n">
        <v>45534.49101851852</v>
      </c>
      <c r="C4032" s="1" t="n">
        <v>45962</v>
      </c>
      <c r="D4032" t="inlineStr">
        <is>
          <t>SKÅNE LÄN</t>
        </is>
      </c>
      <c r="E4032" t="inlineStr">
        <is>
          <t>OSBY</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60997-2024</t>
        </is>
      </c>
      <c r="B4033" s="1" t="n">
        <v>45644</v>
      </c>
      <c r="C4033" s="1" t="n">
        <v>45962</v>
      </c>
      <c r="D4033" t="inlineStr">
        <is>
          <t>SKÅNE LÄN</t>
        </is>
      </c>
      <c r="E4033" t="inlineStr">
        <is>
          <t>KRISTIANSTAD</t>
        </is>
      </c>
      <c r="G4033" t="n">
        <v>1.9</v>
      </c>
      <c r="H4033" t="n">
        <v>0</v>
      </c>
      <c r="I4033" t="n">
        <v>0</v>
      </c>
      <c r="J4033" t="n">
        <v>0</v>
      </c>
      <c r="K4033" t="n">
        <v>0</v>
      </c>
      <c r="L4033" t="n">
        <v>0</v>
      </c>
      <c r="M4033" t="n">
        <v>0</v>
      </c>
      <c r="N4033" t="n">
        <v>0</v>
      </c>
      <c r="O4033" t="n">
        <v>0</v>
      </c>
      <c r="P4033" t="n">
        <v>0</v>
      </c>
      <c r="Q4033" t="n">
        <v>0</v>
      </c>
      <c r="R4033" s="2" t="inlineStr"/>
    </row>
    <row r="4034" ht="15" customHeight="1">
      <c r="A4034" t="inlineStr">
        <is>
          <t>A 33948-2025</t>
        </is>
      </c>
      <c r="B4034" s="1" t="n">
        <v>45842.65945601852</v>
      </c>
      <c r="C4034" s="1" t="n">
        <v>45962</v>
      </c>
      <c r="D4034" t="inlineStr">
        <is>
          <t>SKÅNE LÄN</t>
        </is>
      </c>
      <c r="E4034" t="inlineStr">
        <is>
          <t>HÄSSLEHOLM</t>
        </is>
      </c>
      <c r="G4034" t="n">
        <v>8.5</v>
      </c>
      <c r="H4034" t="n">
        <v>0</v>
      </c>
      <c r="I4034" t="n">
        <v>0</v>
      </c>
      <c r="J4034" t="n">
        <v>0</v>
      </c>
      <c r="K4034" t="n">
        <v>0</v>
      </c>
      <c r="L4034" t="n">
        <v>0</v>
      </c>
      <c r="M4034" t="n">
        <v>0</v>
      </c>
      <c r="N4034" t="n">
        <v>0</v>
      </c>
      <c r="O4034" t="n">
        <v>0</v>
      </c>
      <c r="P4034" t="n">
        <v>0</v>
      </c>
      <c r="Q4034" t="n">
        <v>0</v>
      </c>
      <c r="R4034" s="2" t="inlineStr"/>
    </row>
    <row r="4035" ht="15" customHeight="1">
      <c r="A4035" t="inlineStr">
        <is>
          <t>A 32596-2024</t>
        </is>
      </c>
      <c r="B4035" s="1" t="n">
        <v>45513.61667824074</v>
      </c>
      <c r="C4035" s="1" t="n">
        <v>45962</v>
      </c>
      <c r="D4035" t="inlineStr">
        <is>
          <t>SKÅNE LÄN</t>
        </is>
      </c>
      <c r="E4035" t="inlineStr">
        <is>
          <t>YSTAD</t>
        </is>
      </c>
      <c r="G4035" t="n">
        <v>2.6</v>
      </c>
      <c r="H4035" t="n">
        <v>0</v>
      </c>
      <c r="I4035" t="n">
        <v>0</v>
      </c>
      <c r="J4035" t="n">
        <v>0</v>
      </c>
      <c r="K4035" t="n">
        <v>0</v>
      </c>
      <c r="L4035" t="n">
        <v>0</v>
      </c>
      <c r="M4035" t="n">
        <v>0</v>
      </c>
      <c r="N4035" t="n">
        <v>0</v>
      </c>
      <c r="O4035" t="n">
        <v>0</v>
      </c>
      <c r="P4035" t="n">
        <v>0</v>
      </c>
      <c r="Q4035" t="n">
        <v>0</v>
      </c>
      <c r="R4035" s="2" t="inlineStr"/>
    </row>
    <row r="4036" ht="15" customHeight="1">
      <c r="A4036" t="inlineStr">
        <is>
          <t>A 58269-2022</t>
        </is>
      </c>
      <c r="B4036" s="1" t="n">
        <v>44894</v>
      </c>
      <c r="C4036" s="1" t="n">
        <v>45962</v>
      </c>
      <c r="D4036" t="inlineStr">
        <is>
          <t>SKÅNE LÄN</t>
        </is>
      </c>
      <c r="E4036" t="inlineStr">
        <is>
          <t>KRISTIANSTAD</t>
        </is>
      </c>
      <c r="G4036" t="n">
        <v>14.9</v>
      </c>
      <c r="H4036" t="n">
        <v>0</v>
      </c>
      <c r="I4036" t="n">
        <v>0</v>
      </c>
      <c r="J4036" t="n">
        <v>0</v>
      </c>
      <c r="K4036" t="n">
        <v>0</v>
      </c>
      <c r="L4036" t="n">
        <v>0</v>
      </c>
      <c r="M4036" t="n">
        <v>0</v>
      </c>
      <c r="N4036" t="n">
        <v>0</v>
      </c>
      <c r="O4036" t="n">
        <v>0</v>
      </c>
      <c r="P4036" t="n">
        <v>0</v>
      </c>
      <c r="Q4036" t="n">
        <v>0</v>
      </c>
      <c r="R4036" s="2" t="inlineStr"/>
    </row>
    <row r="4037" ht="15" customHeight="1">
      <c r="A4037" t="inlineStr">
        <is>
          <t>A 16525-2024</t>
        </is>
      </c>
      <c r="B4037" s="1" t="n">
        <v>45408.42017361111</v>
      </c>
      <c r="C4037" s="1" t="n">
        <v>45962</v>
      </c>
      <c r="D4037" t="inlineStr">
        <is>
          <t>SKÅNE LÄN</t>
        </is>
      </c>
      <c r="E4037" t="inlineStr">
        <is>
          <t>KRISTIANSTAD</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38635-2025</t>
        </is>
      </c>
      <c r="B4038" s="1" t="n">
        <v>45884.56550925926</v>
      </c>
      <c r="C4038" s="1" t="n">
        <v>45962</v>
      </c>
      <c r="D4038" t="inlineStr">
        <is>
          <t>SKÅNE LÄN</t>
        </is>
      </c>
      <c r="E4038" t="inlineStr">
        <is>
          <t>KRISTIANSTAD</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13562-2025</t>
        </is>
      </c>
      <c r="B4039" s="1" t="n">
        <v>45736.56064814814</v>
      </c>
      <c r="C4039" s="1" t="n">
        <v>45962</v>
      </c>
      <c r="D4039" t="inlineStr">
        <is>
          <t>SKÅNE LÄN</t>
        </is>
      </c>
      <c r="E4039" t="inlineStr">
        <is>
          <t>KRISTIANSTAD</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34810-2023</t>
        </is>
      </c>
      <c r="B4040" s="1" t="n">
        <v>45141</v>
      </c>
      <c r="C4040" s="1" t="n">
        <v>45962</v>
      </c>
      <c r="D4040" t="inlineStr">
        <is>
          <t>SKÅNE LÄN</t>
        </is>
      </c>
      <c r="E4040" t="inlineStr">
        <is>
          <t>SVALÖV</t>
        </is>
      </c>
      <c r="G4040" t="n">
        <v>7</v>
      </c>
      <c r="H4040" t="n">
        <v>0</v>
      </c>
      <c r="I4040" t="n">
        <v>0</v>
      </c>
      <c r="J4040" t="n">
        <v>0</v>
      </c>
      <c r="K4040" t="n">
        <v>0</v>
      </c>
      <c r="L4040" t="n">
        <v>0</v>
      </c>
      <c r="M4040" t="n">
        <v>0</v>
      </c>
      <c r="N4040" t="n">
        <v>0</v>
      </c>
      <c r="O4040" t="n">
        <v>0</v>
      </c>
      <c r="P4040" t="n">
        <v>0</v>
      </c>
      <c r="Q4040" t="n">
        <v>0</v>
      </c>
      <c r="R4040" s="2" t="inlineStr"/>
    </row>
    <row r="4041" ht="15" customHeight="1">
      <c r="A4041" t="inlineStr">
        <is>
          <t>A 22678-2025</t>
        </is>
      </c>
      <c r="B4041" s="1" t="n">
        <v>45789.49725694444</v>
      </c>
      <c r="C4041" s="1" t="n">
        <v>45962</v>
      </c>
      <c r="D4041" t="inlineStr">
        <is>
          <t>SKÅNE LÄN</t>
        </is>
      </c>
      <c r="E4041" t="inlineStr">
        <is>
          <t>HÄSSLEHOLM</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50380-2023</t>
        </is>
      </c>
      <c r="B4042" s="1" t="n">
        <v>45216.62342592593</v>
      </c>
      <c r="C4042" s="1" t="n">
        <v>45962</v>
      </c>
      <c r="D4042" t="inlineStr">
        <is>
          <t>SKÅNE LÄN</t>
        </is>
      </c>
      <c r="E4042" t="inlineStr">
        <is>
          <t>OSBY</t>
        </is>
      </c>
      <c r="G4042" t="n">
        <v>2.5</v>
      </c>
      <c r="H4042" t="n">
        <v>0</v>
      </c>
      <c r="I4042" t="n">
        <v>0</v>
      </c>
      <c r="J4042" t="n">
        <v>0</v>
      </c>
      <c r="K4042" t="n">
        <v>0</v>
      </c>
      <c r="L4042" t="n">
        <v>0</v>
      </c>
      <c r="M4042" t="n">
        <v>0</v>
      </c>
      <c r="N4042" t="n">
        <v>0</v>
      </c>
      <c r="O4042" t="n">
        <v>0</v>
      </c>
      <c r="P4042" t="n">
        <v>0</v>
      </c>
      <c r="Q4042" t="n">
        <v>0</v>
      </c>
      <c r="R4042" s="2" t="inlineStr"/>
    </row>
    <row r="4043" ht="15" customHeight="1">
      <c r="A4043" t="inlineStr">
        <is>
          <t>A 14682-2023</t>
        </is>
      </c>
      <c r="B4043" s="1" t="n">
        <v>45014</v>
      </c>
      <c r="C4043" s="1" t="n">
        <v>45962</v>
      </c>
      <c r="D4043" t="inlineStr">
        <is>
          <t>SKÅNE LÄN</t>
        </is>
      </c>
      <c r="E4043" t="inlineStr">
        <is>
          <t>KRISTIANSTAD</t>
        </is>
      </c>
      <c r="G4043" t="n">
        <v>1.1</v>
      </c>
      <c r="H4043" t="n">
        <v>0</v>
      </c>
      <c r="I4043" t="n">
        <v>0</v>
      </c>
      <c r="J4043" t="n">
        <v>0</v>
      </c>
      <c r="K4043" t="n">
        <v>0</v>
      </c>
      <c r="L4043" t="n">
        <v>0</v>
      </c>
      <c r="M4043" t="n">
        <v>0</v>
      </c>
      <c r="N4043" t="n">
        <v>0</v>
      </c>
      <c r="O4043" t="n">
        <v>0</v>
      </c>
      <c r="P4043" t="n">
        <v>0</v>
      </c>
      <c r="Q4043" t="n">
        <v>0</v>
      </c>
      <c r="R4043" s="2" t="inlineStr"/>
    </row>
    <row r="4044" ht="15" customHeight="1">
      <c r="A4044" t="inlineStr">
        <is>
          <t>A 40710-2023</t>
        </is>
      </c>
      <c r="B4044" s="1" t="n">
        <v>45170.63194444445</v>
      </c>
      <c r="C4044" s="1" t="n">
        <v>45962</v>
      </c>
      <c r="D4044" t="inlineStr">
        <is>
          <t>SKÅNE LÄN</t>
        </is>
      </c>
      <c r="E4044" t="inlineStr">
        <is>
          <t>KLIPPAN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34966-2023</t>
        </is>
      </c>
      <c r="B4045" s="1" t="n">
        <v>45141</v>
      </c>
      <c r="C4045" s="1" t="n">
        <v>45962</v>
      </c>
      <c r="D4045" t="inlineStr">
        <is>
          <t>SKÅNE LÄN</t>
        </is>
      </c>
      <c r="E4045" t="inlineStr">
        <is>
          <t>OSBY</t>
        </is>
      </c>
      <c r="G4045" t="n">
        <v>1.7</v>
      </c>
      <c r="H4045" t="n">
        <v>0</v>
      </c>
      <c r="I4045" t="n">
        <v>0</v>
      </c>
      <c r="J4045" t="n">
        <v>0</v>
      </c>
      <c r="K4045" t="n">
        <v>0</v>
      </c>
      <c r="L4045" t="n">
        <v>0</v>
      </c>
      <c r="M4045" t="n">
        <v>0</v>
      </c>
      <c r="N4045" t="n">
        <v>0</v>
      </c>
      <c r="O4045" t="n">
        <v>0</v>
      </c>
      <c r="P4045" t="n">
        <v>0</v>
      </c>
      <c r="Q4045" t="n">
        <v>0</v>
      </c>
      <c r="R4045" s="2" t="inlineStr"/>
    </row>
    <row r="4046" ht="15" customHeight="1">
      <c r="A4046" t="inlineStr">
        <is>
          <t>A 13662-2025</t>
        </is>
      </c>
      <c r="B4046" s="1" t="n">
        <v>45736.77020833334</v>
      </c>
      <c r="C4046" s="1" t="n">
        <v>45962</v>
      </c>
      <c r="D4046" t="inlineStr">
        <is>
          <t>SKÅNE LÄN</t>
        </is>
      </c>
      <c r="E4046" t="inlineStr">
        <is>
          <t>ÄNGELHOLM</t>
        </is>
      </c>
      <c r="G4046" t="n">
        <v>6.4</v>
      </c>
      <c r="H4046" t="n">
        <v>0</v>
      </c>
      <c r="I4046" t="n">
        <v>0</v>
      </c>
      <c r="J4046" t="n">
        <v>0</v>
      </c>
      <c r="K4046" t="n">
        <v>0</v>
      </c>
      <c r="L4046" t="n">
        <v>0</v>
      </c>
      <c r="M4046" t="n">
        <v>0</v>
      </c>
      <c r="N4046" t="n">
        <v>0</v>
      </c>
      <c r="O4046" t="n">
        <v>0</v>
      </c>
      <c r="P4046" t="n">
        <v>0</v>
      </c>
      <c r="Q4046" t="n">
        <v>0</v>
      </c>
      <c r="R4046" s="2" t="inlineStr"/>
    </row>
    <row r="4047" ht="15" customHeight="1">
      <c r="A4047" t="inlineStr">
        <is>
          <t>A 13664-2025</t>
        </is>
      </c>
      <c r="B4047" s="1" t="n">
        <v>45736.79643518518</v>
      </c>
      <c r="C4047" s="1" t="n">
        <v>45962</v>
      </c>
      <c r="D4047" t="inlineStr">
        <is>
          <t>SKÅNE LÄN</t>
        </is>
      </c>
      <c r="E4047" t="inlineStr">
        <is>
          <t>KRISTIANSTAD</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26708-2023</t>
        </is>
      </c>
      <c r="B4048" s="1" t="n">
        <v>45093</v>
      </c>
      <c r="C4048" s="1" t="n">
        <v>45962</v>
      </c>
      <c r="D4048" t="inlineStr">
        <is>
          <t>SKÅNE LÄN</t>
        </is>
      </c>
      <c r="E4048" t="inlineStr">
        <is>
          <t>BJUV</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26730-2023</t>
        </is>
      </c>
      <c r="B4049" s="1" t="n">
        <v>45090</v>
      </c>
      <c r="C4049" s="1" t="n">
        <v>45962</v>
      </c>
      <c r="D4049" t="inlineStr">
        <is>
          <t>SKÅNE LÄN</t>
        </is>
      </c>
      <c r="E4049" t="inlineStr">
        <is>
          <t>SJÖBO</t>
        </is>
      </c>
      <c r="F4049" t="inlineStr">
        <is>
          <t>Sveaskog</t>
        </is>
      </c>
      <c r="G4049" t="n">
        <v>2.4</v>
      </c>
      <c r="H4049" t="n">
        <v>0</v>
      </c>
      <c r="I4049" t="n">
        <v>0</v>
      </c>
      <c r="J4049" t="n">
        <v>0</v>
      </c>
      <c r="K4049" t="n">
        <v>0</v>
      </c>
      <c r="L4049" t="n">
        <v>0</v>
      </c>
      <c r="M4049" t="n">
        <v>0</v>
      </c>
      <c r="N4049" t="n">
        <v>0</v>
      </c>
      <c r="O4049" t="n">
        <v>0</v>
      </c>
      <c r="P4049" t="n">
        <v>0</v>
      </c>
      <c r="Q4049" t="n">
        <v>0</v>
      </c>
      <c r="R4049" s="2" t="inlineStr"/>
    </row>
    <row r="4050" ht="15" customHeight="1">
      <c r="A4050" t="inlineStr">
        <is>
          <t>A 50652-2023</t>
        </is>
      </c>
      <c r="B4050" s="1" t="n">
        <v>45210</v>
      </c>
      <c r="C4050" s="1" t="n">
        <v>45962</v>
      </c>
      <c r="D4050" t="inlineStr">
        <is>
          <t>SKÅNE LÄN</t>
        </is>
      </c>
      <c r="E4050" t="inlineStr">
        <is>
          <t>ÄNGELHOLM</t>
        </is>
      </c>
      <c r="G4050" t="n">
        <v>2.4</v>
      </c>
      <c r="H4050" t="n">
        <v>0</v>
      </c>
      <c r="I4050" t="n">
        <v>0</v>
      </c>
      <c r="J4050" t="n">
        <v>0</v>
      </c>
      <c r="K4050" t="n">
        <v>0</v>
      </c>
      <c r="L4050" t="n">
        <v>0</v>
      </c>
      <c r="M4050" t="n">
        <v>0</v>
      </c>
      <c r="N4050" t="n">
        <v>0</v>
      </c>
      <c r="O4050" t="n">
        <v>0</v>
      </c>
      <c r="P4050" t="n">
        <v>0</v>
      </c>
      <c r="Q4050" t="n">
        <v>0</v>
      </c>
      <c r="R4050" s="2" t="inlineStr"/>
    </row>
    <row r="4051" ht="15" customHeight="1">
      <c r="A4051" t="inlineStr">
        <is>
          <t>A 1824-2021</t>
        </is>
      </c>
      <c r="B4051" s="1" t="n">
        <v>44210</v>
      </c>
      <c r="C4051" s="1" t="n">
        <v>45962</v>
      </c>
      <c r="D4051" t="inlineStr">
        <is>
          <t>SKÅNE LÄN</t>
        </is>
      </c>
      <c r="E4051" t="inlineStr">
        <is>
          <t>ÖSTRA GÖINGE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34043-2025</t>
        </is>
      </c>
      <c r="B4052" s="1" t="n">
        <v>45845.37958333334</v>
      </c>
      <c r="C4052" s="1" t="n">
        <v>45962</v>
      </c>
      <c r="D4052" t="inlineStr">
        <is>
          <t>SKÅNE LÄN</t>
        </is>
      </c>
      <c r="E4052" t="inlineStr">
        <is>
          <t>ÖSTRA GÖINGE</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33766-2025</t>
        </is>
      </c>
      <c r="B4053" s="1" t="n">
        <v>45842.3869675926</v>
      </c>
      <c r="C4053" s="1" t="n">
        <v>45962</v>
      </c>
      <c r="D4053" t="inlineStr">
        <is>
          <t>SKÅNE LÄN</t>
        </is>
      </c>
      <c r="E4053" t="inlineStr">
        <is>
          <t>KLIPPAN</t>
        </is>
      </c>
      <c r="G4053" t="n">
        <v>0.8</v>
      </c>
      <c r="H4053" t="n">
        <v>0</v>
      </c>
      <c r="I4053" t="n">
        <v>0</v>
      </c>
      <c r="J4053" t="n">
        <v>0</v>
      </c>
      <c r="K4053" t="n">
        <v>0</v>
      </c>
      <c r="L4053" t="n">
        <v>0</v>
      </c>
      <c r="M4053" t="n">
        <v>0</v>
      </c>
      <c r="N4053" t="n">
        <v>0</v>
      </c>
      <c r="O4053" t="n">
        <v>0</v>
      </c>
      <c r="P4053" t="n">
        <v>0</v>
      </c>
      <c r="Q4053" t="n">
        <v>0</v>
      </c>
      <c r="R4053" s="2" t="inlineStr"/>
    </row>
    <row r="4054" ht="15" customHeight="1">
      <c r="A4054" t="inlineStr">
        <is>
          <t>A 40330-2021</t>
        </is>
      </c>
      <c r="B4054" s="1" t="n">
        <v>44419</v>
      </c>
      <c r="C4054" s="1" t="n">
        <v>45962</v>
      </c>
      <c r="D4054" t="inlineStr">
        <is>
          <t>SKÅNE LÄN</t>
        </is>
      </c>
      <c r="E4054" t="inlineStr">
        <is>
          <t>KRISTIANSTAD</t>
        </is>
      </c>
      <c r="G4054" t="n">
        <v>1.6</v>
      </c>
      <c r="H4054" t="n">
        <v>0</v>
      </c>
      <c r="I4054" t="n">
        <v>0</v>
      </c>
      <c r="J4054" t="n">
        <v>0</v>
      </c>
      <c r="K4054" t="n">
        <v>0</v>
      </c>
      <c r="L4054" t="n">
        <v>0</v>
      </c>
      <c r="M4054" t="n">
        <v>0</v>
      </c>
      <c r="N4054" t="n">
        <v>0</v>
      </c>
      <c r="O4054" t="n">
        <v>0</v>
      </c>
      <c r="P4054" t="n">
        <v>0</v>
      </c>
      <c r="Q4054" t="n">
        <v>0</v>
      </c>
      <c r="R4054" s="2" t="inlineStr"/>
    </row>
    <row r="4055" ht="15" customHeight="1">
      <c r="A4055" t="inlineStr">
        <is>
          <t>A 7802-2025</t>
        </is>
      </c>
      <c r="B4055" s="1" t="n">
        <v>45706</v>
      </c>
      <c r="C4055" s="1" t="n">
        <v>45962</v>
      </c>
      <c r="D4055" t="inlineStr">
        <is>
          <t>SKÅNE LÄN</t>
        </is>
      </c>
      <c r="E4055" t="inlineStr">
        <is>
          <t>KRISTIANSTAD</t>
        </is>
      </c>
      <c r="G4055" t="n">
        <v>2.1</v>
      </c>
      <c r="H4055" t="n">
        <v>0</v>
      </c>
      <c r="I4055" t="n">
        <v>0</v>
      </c>
      <c r="J4055" t="n">
        <v>0</v>
      </c>
      <c r="K4055" t="n">
        <v>0</v>
      </c>
      <c r="L4055" t="n">
        <v>0</v>
      </c>
      <c r="M4055" t="n">
        <v>0</v>
      </c>
      <c r="N4055" t="n">
        <v>0</v>
      </c>
      <c r="O4055" t="n">
        <v>0</v>
      </c>
      <c r="P4055" t="n">
        <v>0</v>
      </c>
      <c r="Q4055" t="n">
        <v>0</v>
      </c>
      <c r="R4055" s="2" t="inlineStr"/>
    </row>
    <row r="4056" ht="15" customHeight="1">
      <c r="A4056" t="inlineStr">
        <is>
          <t>A 25766-2024</t>
        </is>
      </c>
      <c r="B4056" s="1" t="n">
        <v>45465.78670138889</v>
      </c>
      <c r="C4056" s="1" t="n">
        <v>45962</v>
      </c>
      <c r="D4056" t="inlineStr">
        <is>
          <t>SKÅNE LÄN</t>
        </is>
      </c>
      <c r="E4056" t="inlineStr">
        <is>
          <t>KRISTIANSTAD</t>
        </is>
      </c>
      <c r="G4056" t="n">
        <v>7.3</v>
      </c>
      <c r="H4056" t="n">
        <v>0</v>
      </c>
      <c r="I4056" t="n">
        <v>0</v>
      </c>
      <c r="J4056" t="n">
        <v>0</v>
      </c>
      <c r="K4056" t="n">
        <v>0</v>
      </c>
      <c r="L4056" t="n">
        <v>0</v>
      </c>
      <c r="M4056" t="n">
        <v>0</v>
      </c>
      <c r="N4056" t="n">
        <v>0</v>
      </c>
      <c r="O4056" t="n">
        <v>0</v>
      </c>
      <c r="P4056" t="n">
        <v>0</v>
      </c>
      <c r="Q4056" t="n">
        <v>0</v>
      </c>
      <c r="R4056" s="2" t="inlineStr"/>
    </row>
    <row r="4057" ht="15" customHeight="1">
      <c r="A4057" t="inlineStr">
        <is>
          <t>A 38021-2023</t>
        </is>
      </c>
      <c r="B4057" s="1" t="n">
        <v>45159</v>
      </c>
      <c r="C4057" s="1" t="n">
        <v>45962</v>
      </c>
      <c r="D4057" t="inlineStr">
        <is>
          <t>SKÅNE LÄN</t>
        </is>
      </c>
      <c r="E4057" t="inlineStr">
        <is>
          <t>KRISTIANSTAD</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24865-2024</t>
        </is>
      </c>
      <c r="B4058" s="1" t="n">
        <v>45461.48974537037</v>
      </c>
      <c r="C4058" s="1" t="n">
        <v>45962</v>
      </c>
      <c r="D4058" t="inlineStr">
        <is>
          <t>SKÅNE LÄN</t>
        </is>
      </c>
      <c r="E4058" t="inlineStr">
        <is>
          <t>HÄSSLEHOLM</t>
        </is>
      </c>
      <c r="G4058" t="n">
        <v>0.9</v>
      </c>
      <c r="H4058" t="n">
        <v>0</v>
      </c>
      <c r="I4058" t="n">
        <v>0</v>
      </c>
      <c r="J4058" t="n">
        <v>0</v>
      </c>
      <c r="K4058" t="n">
        <v>0</v>
      </c>
      <c r="L4058" t="n">
        <v>0</v>
      </c>
      <c r="M4058" t="n">
        <v>0</v>
      </c>
      <c r="N4058" t="n">
        <v>0</v>
      </c>
      <c r="O4058" t="n">
        <v>0</v>
      </c>
      <c r="P4058" t="n">
        <v>0</v>
      </c>
      <c r="Q4058" t="n">
        <v>0</v>
      </c>
      <c r="R4058" s="2" t="inlineStr"/>
    </row>
    <row r="4059" ht="15" customHeight="1">
      <c r="A4059" t="inlineStr">
        <is>
          <t>A 32958-2023</t>
        </is>
      </c>
      <c r="B4059" s="1" t="n">
        <v>45125.52142361111</v>
      </c>
      <c r="C4059" s="1" t="n">
        <v>45962</v>
      </c>
      <c r="D4059" t="inlineStr">
        <is>
          <t>SKÅNE LÄN</t>
        </is>
      </c>
      <c r="E4059" t="inlineStr">
        <is>
          <t>HÄSSLEHOLM</t>
        </is>
      </c>
      <c r="G4059" t="n">
        <v>7.9</v>
      </c>
      <c r="H4059" t="n">
        <v>0</v>
      </c>
      <c r="I4059" t="n">
        <v>0</v>
      </c>
      <c r="J4059" t="n">
        <v>0</v>
      </c>
      <c r="K4059" t="n">
        <v>0</v>
      </c>
      <c r="L4059" t="n">
        <v>0</v>
      </c>
      <c r="M4059" t="n">
        <v>0</v>
      </c>
      <c r="N4059" t="n">
        <v>0</v>
      </c>
      <c r="O4059" t="n">
        <v>0</v>
      </c>
      <c r="P4059" t="n">
        <v>0</v>
      </c>
      <c r="Q4059" t="n">
        <v>0</v>
      </c>
      <c r="R4059" s="2" t="inlineStr"/>
    </row>
    <row r="4060" ht="15" customHeight="1">
      <c r="A4060" t="inlineStr">
        <is>
          <t>A 12111-2025</t>
        </is>
      </c>
      <c r="B4060" s="1" t="n">
        <v>45729.35930555555</v>
      </c>
      <c r="C4060" s="1" t="n">
        <v>45962</v>
      </c>
      <c r="D4060" t="inlineStr">
        <is>
          <t>SKÅNE LÄN</t>
        </is>
      </c>
      <c r="E4060" t="inlineStr">
        <is>
          <t>HÖÖR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27452-2024</t>
        </is>
      </c>
      <c r="B4061" s="1" t="n">
        <v>45474</v>
      </c>
      <c r="C4061" s="1" t="n">
        <v>45962</v>
      </c>
      <c r="D4061" t="inlineStr">
        <is>
          <t>SKÅNE LÄN</t>
        </is>
      </c>
      <c r="E4061" t="inlineStr">
        <is>
          <t>KLIPPAN</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34126-2025</t>
        </is>
      </c>
      <c r="B4062" s="1" t="n">
        <v>45845.53</v>
      </c>
      <c r="C4062" s="1" t="n">
        <v>45962</v>
      </c>
      <c r="D4062" t="inlineStr">
        <is>
          <t>SKÅNE LÄN</t>
        </is>
      </c>
      <c r="E4062" t="inlineStr">
        <is>
          <t>KRISTIANSTAD</t>
        </is>
      </c>
      <c r="G4062" t="n">
        <v>2.7</v>
      </c>
      <c r="H4062" t="n">
        <v>0</v>
      </c>
      <c r="I4062" t="n">
        <v>0</v>
      </c>
      <c r="J4062" t="n">
        <v>0</v>
      </c>
      <c r="K4062" t="n">
        <v>0</v>
      </c>
      <c r="L4062" t="n">
        <v>0</v>
      </c>
      <c r="M4062" t="n">
        <v>0</v>
      </c>
      <c r="N4062" t="n">
        <v>0</v>
      </c>
      <c r="O4062" t="n">
        <v>0</v>
      </c>
      <c r="P4062" t="n">
        <v>0</v>
      </c>
      <c r="Q4062" t="n">
        <v>0</v>
      </c>
      <c r="R4062" s="2" t="inlineStr"/>
    </row>
    <row r="4063" ht="15" customHeight="1">
      <c r="A4063" t="inlineStr">
        <is>
          <t>A 34174-2025</t>
        </is>
      </c>
      <c r="B4063" s="1" t="n">
        <v>45844</v>
      </c>
      <c r="C4063" s="1" t="n">
        <v>45962</v>
      </c>
      <c r="D4063" t="inlineStr">
        <is>
          <t>SKÅNE LÄN</t>
        </is>
      </c>
      <c r="E4063" t="inlineStr">
        <is>
          <t>HÄSSLEHOLM</t>
        </is>
      </c>
      <c r="G4063" t="n">
        <v>4.7</v>
      </c>
      <c r="H4063" t="n">
        <v>0</v>
      </c>
      <c r="I4063" t="n">
        <v>0</v>
      </c>
      <c r="J4063" t="n">
        <v>0</v>
      </c>
      <c r="K4063" t="n">
        <v>0</v>
      </c>
      <c r="L4063" t="n">
        <v>0</v>
      </c>
      <c r="M4063" t="n">
        <v>0</v>
      </c>
      <c r="N4063" t="n">
        <v>0</v>
      </c>
      <c r="O4063" t="n">
        <v>0</v>
      </c>
      <c r="P4063" t="n">
        <v>0</v>
      </c>
      <c r="Q4063" t="n">
        <v>0</v>
      </c>
      <c r="R4063" s="2" t="inlineStr"/>
    </row>
    <row r="4064" ht="15" customHeight="1">
      <c r="A4064" t="inlineStr">
        <is>
          <t>A 28923-2023</t>
        </is>
      </c>
      <c r="B4064" s="1" t="n">
        <v>45104</v>
      </c>
      <c r="C4064" s="1" t="n">
        <v>45962</v>
      </c>
      <c r="D4064" t="inlineStr">
        <is>
          <t>SKÅNE LÄN</t>
        </is>
      </c>
      <c r="E4064" t="inlineStr">
        <is>
          <t>SJÖBO</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34157-2025</t>
        </is>
      </c>
      <c r="B4065" s="1" t="n">
        <v>45845.5739699074</v>
      </c>
      <c r="C4065" s="1" t="n">
        <v>45962</v>
      </c>
      <c r="D4065" t="inlineStr">
        <is>
          <t>SKÅNE LÄN</t>
        </is>
      </c>
      <c r="E4065" t="inlineStr">
        <is>
          <t>SJÖBO</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34180-2025</t>
        </is>
      </c>
      <c r="B4066" s="1" t="n">
        <v>45844</v>
      </c>
      <c r="C4066" s="1" t="n">
        <v>45962</v>
      </c>
      <c r="D4066" t="inlineStr">
        <is>
          <t>SKÅNE LÄN</t>
        </is>
      </c>
      <c r="E4066" t="inlineStr">
        <is>
          <t>OSBY</t>
        </is>
      </c>
      <c r="F4066" t="inlineStr">
        <is>
          <t>Naturvårdsverket</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34217-2025</t>
        </is>
      </c>
      <c r="B4067" s="1" t="n">
        <v>45844</v>
      </c>
      <c r="C4067" s="1" t="n">
        <v>45962</v>
      </c>
      <c r="D4067" t="inlineStr">
        <is>
          <t>SKÅNE LÄN</t>
        </is>
      </c>
      <c r="E4067" t="inlineStr">
        <is>
          <t>OSBY</t>
        </is>
      </c>
      <c r="F4067" t="inlineStr">
        <is>
          <t>Naturvårdsverket</t>
        </is>
      </c>
      <c r="G4067" t="n">
        <v>4.8</v>
      </c>
      <c r="H4067" t="n">
        <v>0</v>
      </c>
      <c r="I4067" t="n">
        <v>0</v>
      </c>
      <c r="J4067" t="n">
        <v>0</v>
      </c>
      <c r="K4067" t="n">
        <v>0</v>
      </c>
      <c r="L4067" t="n">
        <v>0</v>
      </c>
      <c r="M4067" t="n">
        <v>0</v>
      </c>
      <c r="N4067" t="n">
        <v>0</v>
      </c>
      <c r="O4067" t="n">
        <v>0</v>
      </c>
      <c r="P4067" t="n">
        <v>0</v>
      </c>
      <c r="Q4067" t="n">
        <v>0</v>
      </c>
      <c r="R4067" s="2" t="inlineStr"/>
    </row>
    <row r="4068" ht="15" customHeight="1">
      <c r="A4068" t="inlineStr">
        <is>
          <t>A 33752-2025</t>
        </is>
      </c>
      <c r="B4068" s="1" t="n">
        <v>45842.36796296296</v>
      </c>
      <c r="C4068" s="1" t="n">
        <v>45962</v>
      </c>
      <c r="D4068" t="inlineStr">
        <is>
          <t>SKÅNE LÄN</t>
        </is>
      </c>
      <c r="E4068" t="inlineStr">
        <is>
          <t>ÖRKELLJUNGA</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42794-2024</t>
        </is>
      </c>
      <c r="B4069" s="1" t="n">
        <v>45566.55065972222</v>
      </c>
      <c r="C4069" s="1" t="n">
        <v>45962</v>
      </c>
      <c r="D4069" t="inlineStr">
        <is>
          <t>SKÅNE LÄN</t>
        </is>
      </c>
      <c r="E4069" t="inlineStr">
        <is>
          <t>TOMELILLA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24855-2024</t>
        </is>
      </c>
      <c r="B4070" s="1" t="n">
        <v>45461.46796296296</v>
      </c>
      <c r="C4070" s="1" t="n">
        <v>45962</v>
      </c>
      <c r="D4070" t="inlineStr">
        <is>
          <t>SKÅNE LÄN</t>
        </is>
      </c>
      <c r="E4070" t="inlineStr">
        <is>
          <t>ÄNGELHOLM</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34177-2025</t>
        </is>
      </c>
      <c r="B4071" s="1" t="n">
        <v>45844</v>
      </c>
      <c r="C4071" s="1" t="n">
        <v>45962</v>
      </c>
      <c r="D4071" t="inlineStr">
        <is>
          <t>SKÅNE LÄN</t>
        </is>
      </c>
      <c r="E4071" t="inlineStr">
        <is>
          <t>HÄSSLEHOLM</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16783-2025</t>
        </is>
      </c>
      <c r="B4072" s="1" t="n">
        <v>45754</v>
      </c>
      <c r="C4072" s="1" t="n">
        <v>45962</v>
      </c>
      <c r="D4072" t="inlineStr">
        <is>
          <t>SKÅNE LÄN</t>
        </is>
      </c>
      <c r="E4072" t="inlineStr">
        <is>
          <t>KRISTIANSTAD</t>
        </is>
      </c>
      <c r="G4072" t="n">
        <v>20.2</v>
      </c>
      <c r="H4072" t="n">
        <v>0</v>
      </c>
      <c r="I4072" t="n">
        <v>0</v>
      </c>
      <c r="J4072" t="n">
        <v>0</v>
      </c>
      <c r="K4072" t="n">
        <v>0</v>
      </c>
      <c r="L4072" t="n">
        <v>0</v>
      </c>
      <c r="M4072" t="n">
        <v>0</v>
      </c>
      <c r="N4072" t="n">
        <v>0</v>
      </c>
      <c r="O4072" t="n">
        <v>0</v>
      </c>
      <c r="P4072" t="n">
        <v>0</v>
      </c>
      <c r="Q4072" t="n">
        <v>0</v>
      </c>
      <c r="R4072" s="2" t="inlineStr"/>
    </row>
    <row r="4073" ht="15" customHeight="1">
      <c r="A4073" t="inlineStr">
        <is>
          <t>A 4185-2025</t>
        </is>
      </c>
      <c r="B4073" s="1" t="n">
        <v>45685.44765046296</v>
      </c>
      <c r="C4073" s="1" t="n">
        <v>45962</v>
      </c>
      <c r="D4073" t="inlineStr">
        <is>
          <t>SKÅNE LÄN</t>
        </is>
      </c>
      <c r="E4073" t="inlineStr">
        <is>
          <t>ÖSTRA GÖINGE</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33950-2025</t>
        </is>
      </c>
      <c r="B4074" s="1" t="n">
        <v>45842</v>
      </c>
      <c r="C4074" s="1" t="n">
        <v>45962</v>
      </c>
      <c r="D4074" t="inlineStr">
        <is>
          <t>SKÅNE LÄN</t>
        </is>
      </c>
      <c r="E4074" t="inlineStr">
        <is>
          <t>HÄSSLEHOLM</t>
        </is>
      </c>
      <c r="G4074" t="n">
        <v>5.7</v>
      </c>
      <c r="H4074" t="n">
        <v>0</v>
      </c>
      <c r="I4074" t="n">
        <v>0</v>
      </c>
      <c r="J4074" t="n">
        <v>0</v>
      </c>
      <c r="K4074" t="n">
        <v>0</v>
      </c>
      <c r="L4074" t="n">
        <v>0</v>
      </c>
      <c r="M4074" t="n">
        <v>0</v>
      </c>
      <c r="N4074" t="n">
        <v>0</v>
      </c>
      <c r="O4074" t="n">
        <v>0</v>
      </c>
      <c r="P4074" t="n">
        <v>0</v>
      </c>
      <c r="Q4074" t="n">
        <v>0</v>
      </c>
      <c r="R4074" s="2" t="inlineStr"/>
    </row>
    <row r="4075" ht="15" customHeight="1">
      <c r="A4075" t="inlineStr">
        <is>
          <t>A 52307-2023</t>
        </is>
      </c>
      <c r="B4075" s="1" t="n">
        <v>45217</v>
      </c>
      <c r="C4075" s="1" t="n">
        <v>45962</v>
      </c>
      <c r="D4075" t="inlineStr">
        <is>
          <t>SKÅNE LÄN</t>
        </is>
      </c>
      <c r="E4075" t="inlineStr">
        <is>
          <t>BROMÖLLA</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52341-2023</t>
        </is>
      </c>
      <c r="B4076" s="1" t="n">
        <v>45224.67006944444</v>
      </c>
      <c r="C4076" s="1" t="n">
        <v>45962</v>
      </c>
      <c r="D4076" t="inlineStr">
        <is>
          <t>SKÅNE LÄN</t>
        </is>
      </c>
      <c r="E4076" t="inlineStr">
        <is>
          <t>HÄSSLEHOLM</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56750-2023</t>
        </is>
      </c>
      <c r="B4077" s="1" t="n">
        <v>45238</v>
      </c>
      <c r="C4077" s="1" t="n">
        <v>45962</v>
      </c>
      <c r="D4077" t="inlineStr">
        <is>
          <t>SKÅNE LÄN</t>
        </is>
      </c>
      <c r="E4077" t="inlineStr">
        <is>
          <t>HÖRBY</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66984-2021</t>
        </is>
      </c>
      <c r="B4078" s="1" t="n">
        <v>44522.61341435185</v>
      </c>
      <c r="C4078" s="1" t="n">
        <v>45962</v>
      </c>
      <c r="D4078" t="inlineStr">
        <is>
          <t>SKÅNE LÄN</t>
        </is>
      </c>
      <c r="E4078" t="inlineStr">
        <is>
          <t>OSBY</t>
        </is>
      </c>
      <c r="G4078" t="n">
        <v>1</v>
      </c>
      <c r="H4078" t="n">
        <v>0</v>
      </c>
      <c r="I4078" t="n">
        <v>0</v>
      </c>
      <c r="J4078" t="n">
        <v>0</v>
      </c>
      <c r="K4078" t="n">
        <v>0</v>
      </c>
      <c r="L4078" t="n">
        <v>0</v>
      </c>
      <c r="M4078" t="n">
        <v>0</v>
      </c>
      <c r="N4078" t="n">
        <v>0</v>
      </c>
      <c r="O4078" t="n">
        <v>0</v>
      </c>
      <c r="P4078" t="n">
        <v>0</v>
      </c>
      <c r="Q4078" t="n">
        <v>0</v>
      </c>
      <c r="R4078" s="2" t="inlineStr"/>
    </row>
    <row r="4079" ht="15" customHeight="1">
      <c r="A4079" t="inlineStr">
        <is>
          <t>A 9596-2025</t>
        </is>
      </c>
      <c r="B4079" s="1" t="n">
        <v>45715</v>
      </c>
      <c r="C4079" s="1" t="n">
        <v>45962</v>
      </c>
      <c r="D4079" t="inlineStr">
        <is>
          <t>SKÅNE LÄN</t>
        </is>
      </c>
      <c r="E4079" t="inlineStr">
        <is>
          <t>KRISTIANSTAD</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40417-2022</t>
        </is>
      </c>
      <c r="B4080" s="1" t="n">
        <v>44823</v>
      </c>
      <c r="C4080" s="1" t="n">
        <v>45962</v>
      </c>
      <c r="D4080" t="inlineStr">
        <is>
          <t>SKÅNE LÄN</t>
        </is>
      </c>
      <c r="E4080" t="inlineStr">
        <is>
          <t>YSTAD</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58272-2024</t>
        </is>
      </c>
      <c r="B4081" s="1" t="n">
        <v>45632.57025462963</v>
      </c>
      <c r="C4081" s="1" t="n">
        <v>45962</v>
      </c>
      <c r="D4081" t="inlineStr">
        <is>
          <t>SKÅNE LÄN</t>
        </is>
      </c>
      <c r="E4081" t="inlineStr">
        <is>
          <t>HÄSSLEHOLM</t>
        </is>
      </c>
      <c r="G4081" t="n">
        <v>2.3</v>
      </c>
      <c r="H4081" t="n">
        <v>0</v>
      </c>
      <c r="I4081" t="n">
        <v>0</v>
      </c>
      <c r="J4081" t="n">
        <v>0</v>
      </c>
      <c r="K4081" t="n">
        <v>0</v>
      </c>
      <c r="L4081" t="n">
        <v>0</v>
      </c>
      <c r="M4081" t="n">
        <v>0</v>
      </c>
      <c r="N4081" t="n">
        <v>0</v>
      </c>
      <c r="O4081" t="n">
        <v>0</v>
      </c>
      <c r="P4081" t="n">
        <v>0</v>
      </c>
      <c r="Q4081" t="n">
        <v>0</v>
      </c>
      <c r="R4081" s="2" t="inlineStr"/>
    </row>
    <row r="4082" ht="15" customHeight="1">
      <c r="A4082" t="inlineStr">
        <is>
          <t>A 34131-2025</t>
        </is>
      </c>
      <c r="B4082" s="1" t="n">
        <v>45845.53181712963</v>
      </c>
      <c r="C4082" s="1" t="n">
        <v>45962</v>
      </c>
      <c r="D4082" t="inlineStr">
        <is>
          <t>SKÅNE LÄN</t>
        </is>
      </c>
      <c r="E4082" t="inlineStr">
        <is>
          <t>KRISTIANSTAD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34049-2025</t>
        </is>
      </c>
      <c r="B4083" s="1" t="n">
        <v>45845.39140046296</v>
      </c>
      <c r="C4083" s="1" t="n">
        <v>45962</v>
      </c>
      <c r="D4083" t="inlineStr">
        <is>
          <t>SKÅNE LÄN</t>
        </is>
      </c>
      <c r="E4083" t="inlineStr">
        <is>
          <t>OSBY</t>
        </is>
      </c>
      <c r="G4083" t="n">
        <v>9.199999999999999</v>
      </c>
      <c r="H4083" t="n">
        <v>0</v>
      </c>
      <c r="I4083" t="n">
        <v>0</v>
      </c>
      <c r="J4083" t="n">
        <v>0</v>
      </c>
      <c r="K4083" t="n">
        <v>0</v>
      </c>
      <c r="L4083" t="n">
        <v>0</v>
      </c>
      <c r="M4083" t="n">
        <v>0</v>
      </c>
      <c r="N4083" t="n">
        <v>0</v>
      </c>
      <c r="O4083" t="n">
        <v>0</v>
      </c>
      <c r="P4083" t="n">
        <v>0</v>
      </c>
      <c r="Q4083" t="n">
        <v>0</v>
      </c>
      <c r="R4083" s="2" t="inlineStr"/>
    </row>
    <row r="4084" ht="15" customHeight="1">
      <c r="A4084" t="inlineStr">
        <is>
          <t>A 55833-2023</t>
        </is>
      </c>
      <c r="B4084" s="1" t="n">
        <v>45239</v>
      </c>
      <c r="C4084" s="1" t="n">
        <v>45962</v>
      </c>
      <c r="D4084" t="inlineStr">
        <is>
          <t>SKÅNE LÄN</t>
        </is>
      </c>
      <c r="E4084" t="inlineStr">
        <is>
          <t>KLIPPAN</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45650-2022</t>
        </is>
      </c>
      <c r="B4085" s="1" t="n">
        <v>44845</v>
      </c>
      <c r="C4085" s="1" t="n">
        <v>45962</v>
      </c>
      <c r="D4085" t="inlineStr">
        <is>
          <t>SKÅNE LÄN</t>
        </is>
      </c>
      <c r="E4085" t="inlineStr">
        <is>
          <t>OSBY</t>
        </is>
      </c>
      <c r="G4085" t="n">
        <v>3.8</v>
      </c>
      <c r="H4085" t="n">
        <v>0</v>
      </c>
      <c r="I4085" t="n">
        <v>0</v>
      </c>
      <c r="J4085" t="n">
        <v>0</v>
      </c>
      <c r="K4085" t="n">
        <v>0</v>
      </c>
      <c r="L4085" t="n">
        <v>0</v>
      </c>
      <c r="M4085" t="n">
        <v>0</v>
      </c>
      <c r="N4085" t="n">
        <v>0</v>
      </c>
      <c r="O4085" t="n">
        <v>0</v>
      </c>
      <c r="P4085" t="n">
        <v>0</v>
      </c>
      <c r="Q4085" t="n">
        <v>0</v>
      </c>
      <c r="R4085" s="2" t="inlineStr"/>
    </row>
    <row r="4086" ht="15" customHeight="1">
      <c r="A4086" t="inlineStr">
        <is>
          <t>A 54709-2023</t>
        </is>
      </c>
      <c r="B4086" s="1" t="n">
        <v>45236.34621527778</v>
      </c>
      <c r="C4086" s="1" t="n">
        <v>45962</v>
      </c>
      <c r="D4086" t="inlineStr">
        <is>
          <t>SKÅNE LÄN</t>
        </is>
      </c>
      <c r="E4086" t="inlineStr">
        <is>
          <t>ÄNGELHOLM</t>
        </is>
      </c>
      <c r="G4086" t="n">
        <v>3.6</v>
      </c>
      <c r="H4086" t="n">
        <v>0</v>
      </c>
      <c r="I4086" t="n">
        <v>0</v>
      </c>
      <c r="J4086" t="n">
        <v>0</v>
      </c>
      <c r="K4086" t="n">
        <v>0</v>
      </c>
      <c r="L4086" t="n">
        <v>0</v>
      </c>
      <c r="M4086" t="n">
        <v>0</v>
      </c>
      <c r="N4086" t="n">
        <v>0</v>
      </c>
      <c r="O4086" t="n">
        <v>0</v>
      </c>
      <c r="P4086" t="n">
        <v>0</v>
      </c>
      <c r="Q4086" t="n">
        <v>0</v>
      </c>
      <c r="R4086" s="2" t="inlineStr"/>
    </row>
    <row r="4087" ht="15" customHeight="1">
      <c r="A4087" t="inlineStr">
        <is>
          <t>A 34109-2025</t>
        </is>
      </c>
      <c r="B4087" s="1" t="n">
        <v>45845.49778935185</v>
      </c>
      <c r="C4087" s="1" t="n">
        <v>45962</v>
      </c>
      <c r="D4087" t="inlineStr">
        <is>
          <t>SKÅNE LÄN</t>
        </is>
      </c>
      <c r="E4087" t="inlineStr">
        <is>
          <t>HÖÖR</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34115-2025</t>
        </is>
      </c>
      <c r="B4088" s="1" t="n">
        <v>45845.50957175926</v>
      </c>
      <c r="C4088" s="1" t="n">
        <v>45962</v>
      </c>
      <c r="D4088" t="inlineStr">
        <is>
          <t>SKÅNE LÄN</t>
        </is>
      </c>
      <c r="E4088" t="inlineStr">
        <is>
          <t>SJÖBO</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44582-2022</t>
        </is>
      </c>
      <c r="B4089" s="1" t="n">
        <v>44840</v>
      </c>
      <c r="C4089" s="1" t="n">
        <v>45962</v>
      </c>
      <c r="D4089" t="inlineStr">
        <is>
          <t>SKÅNE LÄN</t>
        </is>
      </c>
      <c r="E4089" t="inlineStr">
        <is>
          <t>KRISTIANSTAD</t>
        </is>
      </c>
      <c r="G4089" t="n">
        <v>1.5</v>
      </c>
      <c r="H4089" t="n">
        <v>0</v>
      </c>
      <c r="I4089" t="n">
        <v>0</v>
      </c>
      <c r="J4089" t="n">
        <v>0</v>
      </c>
      <c r="K4089" t="n">
        <v>0</v>
      </c>
      <c r="L4089" t="n">
        <v>0</v>
      </c>
      <c r="M4089" t="n">
        <v>0</v>
      </c>
      <c r="N4089" t="n">
        <v>0</v>
      </c>
      <c r="O4089" t="n">
        <v>0</v>
      </c>
      <c r="P4089" t="n">
        <v>0</v>
      </c>
      <c r="Q4089" t="n">
        <v>0</v>
      </c>
      <c r="R4089" s="2" t="inlineStr"/>
    </row>
    <row r="4090" ht="15" customHeight="1">
      <c r="A4090" t="inlineStr">
        <is>
          <t>A 18580-2023</t>
        </is>
      </c>
      <c r="B4090" s="1" t="n">
        <v>45043.37037037037</v>
      </c>
      <c r="C4090" s="1" t="n">
        <v>45962</v>
      </c>
      <c r="D4090" t="inlineStr">
        <is>
          <t>SKÅNE LÄN</t>
        </is>
      </c>
      <c r="E4090" t="inlineStr">
        <is>
          <t>HÄSSLEHOLM</t>
        </is>
      </c>
      <c r="G4090" t="n">
        <v>1.5</v>
      </c>
      <c r="H4090" t="n">
        <v>0</v>
      </c>
      <c r="I4090" t="n">
        <v>0</v>
      </c>
      <c r="J4090" t="n">
        <v>0</v>
      </c>
      <c r="K4090" t="n">
        <v>0</v>
      </c>
      <c r="L4090" t="n">
        <v>0</v>
      </c>
      <c r="M4090" t="n">
        <v>0</v>
      </c>
      <c r="N4090" t="n">
        <v>0</v>
      </c>
      <c r="O4090" t="n">
        <v>0</v>
      </c>
      <c r="P4090" t="n">
        <v>0</v>
      </c>
      <c r="Q4090" t="n">
        <v>0</v>
      </c>
      <c r="R4090" s="2" t="inlineStr"/>
    </row>
    <row r="4091" ht="15" customHeight="1">
      <c r="A4091" t="inlineStr">
        <is>
          <t>A 30063-2025</t>
        </is>
      </c>
      <c r="B4091" s="1" t="n">
        <v>45826</v>
      </c>
      <c r="C4091" s="1" t="n">
        <v>45962</v>
      </c>
      <c r="D4091" t="inlineStr">
        <is>
          <t>SKÅNE LÄN</t>
        </is>
      </c>
      <c r="E4091" t="inlineStr">
        <is>
          <t>PERSTORP</t>
        </is>
      </c>
      <c r="G4091" t="n">
        <v>4.5</v>
      </c>
      <c r="H4091" t="n">
        <v>0</v>
      </c>
      <c r="I4091" t="n">
        <v>0</v>
      </c>
      <c r="J4091" t="n">
        <v>0</v>
      </c>
      <c r="K4091" t="n">
        <v>0</v>
      </c>
      <c r="L4091" t="n">
        <v>0</v>
      </c>
      <c r="M4091" t="n">
        <v>0</v>
      </c>
      <c r="N4091" t="n">
        <v>0</v>
      </c>
      <c r="O4091" t="n">
        <v>0</v>
      </c>
      <c r="P4091" t="n">
        <v>0</v>
      </c>
      <c r="Q4091" t="n">
        <v>0</v>
      </c>
      <c r="R4091" s="2" t="inlineStr"/>
    </row>
    <row r="4092" ht="15" customHeight="1">
      <c r="A4092" t="inlineStr">
        <is>
          <t>A 45900-2023</t>
        </is>
      </c>
      <c r="B4092" s="1" t="n">
        <v>45195.69958333333</v>
      </c>
      <c r="C4092" s="1" t="n">
        <v>45962</v>
      </c>
      <c r="D4092" t="inlineStr">
        <is>
          <t>SKÅNE LÄN</t>
        </is>
      </c>
      <c r="E4092" t="inlineStr">
        <is>
          <t>OSBY</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45906-2023</t>
        </is>
      </c>
      <c r="B4093" s="1" t="n">
        <v>45195.71341435185</v>
      </c>
      <c r="C4093" s="1" t="n">
        <v>45962</v>
      </c>
      <c r="D4093" t="inlineStr">
        <is>
          <t>SKÅNE LÄN</t>
        </is>
      </c>
      <c r="E4093" t="inlineStr">
        <is>
          <t>OSBY</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46677-2023</t>
        </is>
      </c>
      <c r="B4094" s="1" t="n">
        <v>45198</v>
      </c>
      <c r="C4094" s="1" t="n">
        <v>45962</v>
      </c>
      <c r="D4094" t="inlineStr">
        <is>
          <t>SKÅNE LÄN</t>
        </is>
      </c>
      <c r="E4094" t="inlineStr">
        <is>
          <t>ÖSTRA GÖINGE</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11808-2024</t>
        </is>
      </c>
      <c r="B4095" s="1" t="n">
        <v>45375.84645833333</v>
      </c>
      <c r="C4095" s="1" t="n">
        <v>45962</v>
      </c>
      <c r="D4095" t="inlineStr">
        <is>
          <t>SKÅNE LÄN</t>
        </is>
      </c>
      <c r="E4095" t="inlineStr">
        <is>
          <t>OSBY</t>
        </is>
      </c>
      <c r="G4095" t="n">
        <v>2</v>
      </c>
      <c r="H4095" t="n">
        <v>0</v>
      </c>
      <c r="I4095" t="n">
        <v>0</v>
      </c>
      <c r="J4095" t="n">
        <v>0</v>
      </c>
      <c r="K4095" t="n">
        <v>0</v>
      </c>
      <c r="L4095" t="n">
        <v>0</v>
      </c>
      <c r="M4095" t="n">
        <v>0</v>
      </c>
      <c r="N4095" t="n">
        <v>0</v>
      </c>
      <c r="O4095" t="n">
        <v>0</v>
      </c>
      <c r="P4095" t="n">
        <v>0</v>
      </c>
      <c r="Q4095" t="n">
        <v>0</v>
      </c>
      <c r="R4095" s="2" t="inlineStr"/>
    </row>
    <row r="4096" ht="15" customHeight="1">
      <c r="A4096" t="inlineStr">
        <is>
          <t>A 34344-2025</t>
        </is>
      </c>
      <c r="B4096" s="1" t="n">
        <v>45846.4655324074</v>
      </c>
      <c r="C4096" s="1" t="n">
        <v>45962</v>
      </c>
      <c r="D4096" t="inlineStr">
        <is>
          <t>SKÅNE LÄN</t>
        </is>
      </c>
      <c r="E4096" t="inlineStr">
        <is>
          <t>ÖSTRA GÖINGE</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9573-2025</t>
        </is>
      </c>
      <c r="B4097" s="1" t="n">
        <v>45715.62260416667</v>
      </c>
      <c r="C4097" s="1" t="n">
        <v>45962</v>
      </c>
      <c r="D4097" t="inlineStr">
        <is>
          <t>SKÅNE LÄN</t>
        </is>
      </c>
      <c r="E4097" t="inlineStr">
        <is>
          <t>ÖRKELLJUNGA</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34400-2025</t>
        </is>
      </c>
      <c r="B4098" s="1" t="n">
        <v>45846.61351851852</v>
      </c>
      <c r="C4098" s="1" t="n">
        <v>45962</v>
      </c>
      <c r="D4098" t="inlineStr">
        <is>
          <t>SKÅNE LÄN</t>
        </is>
      </c>
      <c r="E4098" t="inlineStr">
        <is>
          <t>BÅSTAD</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9611-2025</t>
        </is>
      </c>
      <c r="B4099" s="1" t="n">
        <v>45715</v>
      </c>
      <c r="C4099" s="1" t="n">
        <v>45962</v>
      </c>
      <c r="D4099" t="inlineStr">
        <is>
          <t>SKÅNE LÄN</t>
        </is>
      </c>
      <c r="E4099" t="inlineStr">
        <is>
          <t>HÄSSLEHOLM</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24906-2022</t>
        </is>
      </c>
      <c r="B4100" s="1" t="n">
        <v>44728</v>
      </c>
      <c r="C4100" s="1" t="n">
        <v>45962</v>
      </c>
      <c r="D4100" t="inlineStr">
        <is>
          <t>SKÅNE LÄN</t>
        </is>
      </c>
      <c r="E4100" t="inlineStr">
        <is>
          <t>HÄSSLEHOLM</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45596-2024</t>
        </is>
      </c>
      <c r="B4101" s="1" t="n">
        <v>45579</v>
      </c>
      <c r="C4101" s="1" t="n">
        <v>45962</v>
      </c>
      <c r="D4101" t="inlineStr">
        <is>
          <t>SKÅNE LÄN</t>
        </is>
      </c>
      <c r="E4101" t="inlineStr">
        <is>
          <t>KLIPPAN</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34484-2025</t>
        </is>
      </c>
      <c r="B4102" s="1" t="n">
        <v>45847.39517361111</v>
      </c>
      <c r="C4102" s="1" t="n">
        <v>45962</v>
      </c>
      <c r="D4102" t="inlineStr">
        <is>
          <t>SKÅNE LÄN</t>
        </is>
      </c>
      <c r="E4102" t="inlineStr">
        <is>
          <t>LUND</t>
        </is>
      </c>
      <c r="F4102" t="inlineStr">
        <is>
          <t>Kommuner</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43947-2024</t>
        </is>
      </c>
      <c r="B4103" s="1" t="n">
        <v>45572.47167824074</v>
      </c>
      <c r="C4103" s="1" t="n">
        <v>45962</v>
      </c>
      <c r="D4103" t="inlineStr">
        <is>
          <t>SKÅNE LÄN</t>
        </is>
      </c>
      <c r="E4103" t="inlineStr">
        <is>
          <t>OSBY</t>
        </is>
      </c>
      <c r="G4103" t="n">
        <v>1.6</v>
      </c>
      <c r="H4103" t="n">
        <v>0</v>
      </c>
      <c r="I4103" t="n">
        <v>0</v>
      </c>
      <c r="J4103" t="n">
        <v>0</v>
      </c>
      <c r="K4103" t="n">
        <v>0</v>
      </c>
      <c r="L4103" t="n">
        <v>0</v>
      </c>
      <c r="M4103" t="n">
        <v>0</v>
      </c>
      <c r="N4103" t="n">
        <v>0</v>
      </c>
      <c r="O4103" t="n">
        <v>0</v>
      </c>
      <c r="P4103" t="n">
        <v>0</v>
      </c>
      <c r="Q4103" t="n">
        <v>0</v>
      </c>
      <c r="R4103" s="2" t="inlineStr"/>
    </row>
    <row r="4104" ht="15" customHeight="1">
      <c r="A4104" t="inlineStr">
        <is>
          <t>A 34472-2025</t>
        </is>
      </c>
      <c r="B4104" s="1" t="n">
        <v>45847.35877314815</v>
      </c>
      <c r="C4104" s="1" t="n">
        <v>45962</v>
      </c>
      <c r="D4104" t="inlineStr">
        <is>
          <t>SKÅNE LÄN</t>
        </is>
      </c>
      <c r="E4104" t="inlineStr">
        <is>
          <t>KLIPPAN</t>
        </is>
      </c>
      <c r="G4104" t="n">
        <v>2.5</v>
      </c>
      <c r="H4104" t="n">
        <v>0</v>
      </c>
      <c r="I4104" t="n">
        <v>0</v>
      </c>
      <c r="J4104" t="n">
        <v>0</v>
      </c>
      <c r="K4104" t="n">
        <v>0</v>
      </c>
      <c r="L4104" t="n">
        <v>0</v>
      </c>
      <c r="M4104" t="n">
        <v>0</v>
      </c>
      <c r="N4104" t="n">
        <v>0</v>
      </c>
      <c r="O4104" t="n">
        <v>0</v>
      </c>
      <c r="P4104" t="n">
        <v>0</v>
      </c>
      <c r="Q4104" t="n">
        <v>0</v>
      </c>
      <c r="R4104" s="2" t="inlineStr"/>
    </row>
    <row r="4105" ht="15" customHeight="1">
      <c r="A4105" t="inlineStr">
        <is>
          <t>A 34342-2021</t>
        </is>
      </c>
      <c r="B4105" s="1" t="n">
        <v>44379</v>
      </c>
      <c r="C4105" s="1" t="n">
        <v>45962</v>
      </c>
      <c r="D4105" t="inlineStr">
        <is>
          <t>SKÅNE LÄN</t>
        </is>
      </c>
      <c r="E4105" t="inlineStr">
        <is>
          <t>HÄSSLEHOLM</t>
        </is>
      </c>
      <c r="G4105" t="n">
        <v>7</v>
      </c>
      <c r="H4105" t="n">
        <v>0</v>
      </c>
      <c r="I4105" t="n">
        <v>0</v>
      </c>
      <c r="J4105" t="n">
        <v>0</v>
      </c>
      <c r="K4105" t="n">
        <v>0</v>
      </c>
      <c r="L4105" t="n">
        <v>0</v>
      </c>
      <c r="M4105" t="n">
        <v>0</v>
      </c>
      <c r="N4105" t="n">
        <v>0</v>
      </c>
      <c r="O4105" t="n">
        <v>0</v>
      </c>
      <c r="P4105" t="n">
        <v>0</v>
      </c>
      <c r="Q4105" t="n">
        <v>0</v>
      </c>
      <c r="R4105" s="2" t="inlineStr"/>
    </row>
    <row r="4106" ht="15" customHeight="1">
      <c r="A4106" t="inlineStr">
        <is>
          <t>A 3890-2024</t>
        </is>
      </c>
      <c r="B4106" s="1" t="n">
        <v>45322.45366898148</v>
      </c>
      <c r="C4106" s="1" t="n">
        <v>45962</v>
      </c>
      <c r="D4106" t="inlineStr">
        <is>
          <t>SKÅNE LÄN</t>
        </is>
      </c>
      <c r="E4106" t="inlineStr">
        <is>
          <t>HÄSSLEHOLM</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43871-2022</t>
        </is>
      </c>
      <c r="B4107" s="1" t="n">
        <v>44838</v>
      </c>
      <c r="C4107" s="1" t="n">
        <v>45962</v>
      </c>
      <c r="D4107" t="inlineStr">
        <is>
          <t>SKÅNE LÄN</t>
        </is>
      </c>
      <c r="E4107" t="inlineStr">
        <is>
          <t>HÖÖR</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43884-2022</t>
        </is>
      </c>
      <c r="B4108" s="1" t="n">
        <v>44838</v>
      </c>
      <c r="C4108" s="1" t="n">
        <v>45962</v>
      </c>
      <c r="D4108" t="inlineStr">
        <is>
          <t>SKÅNE LÄN</t>
        </is>
      </c>
      <c r="E4108" t="inlineStr">
        <is>
          <t>HÖÖR</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1225-2025</t>
        </is>
      </c>
      <c r="B4109" s="1" t="n">
        <v>45667.43741898148</v>
      </c>
      <c r="C4109" s="1" t="n">
        <v>45962</v>
      </c>
      <c r="D4109" t="inlineStr">
        <is>
          <t>SKÅNE LÄN</t>
        </is>
      </c>
      <c r="E4109" t="inlineStr">
        <is>
          <t>ÖSTRA GÖINGE</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34401-2025</t>
        </is>
      </c>
      <c r="B4110" s="1" t="n">
        <v>45846.6140162037</v>
      </c>
      <c r="C4110" s="1" t="n">
        <v>45962</v>
      </c>
      <c r="D4110" t="inlineStr">
        <is>
          <t>SKÅNE LÄN</t>
        </is>
      </c>
      <c r="E4110" t="inlineStr">
        <is>
          <t>BÅSTAD</t>
        </is>
      </c>
      <c r="G4110" t="n">
        <v>2.8</v>
      </c>
      <c r="H4110" t="n">
        <v>0</v>
      </c>
      <c r="I4110" t="n">
        <v>0</v>
      </c>
      <c r="J4110" t="n">
        <v>0</v>
      </c>
      <c r="K4110" t="n">
        <v>0</v>
      </c>
      <c r="L4110" t="n">
        <v>0</v>
      </c>
      <c r="M4110" t="n">
        <v>0</v>
      </c>
      <c r="N4110" t="n">
        <v>0</v>
      </c>
      <c r="O4110" t="n">
        <v>0</v>
      </c>
      <c r="P4110" t="n">
        <v>0</v>
      </c>
      <c r="Q4110" t="n">
        <v>0</v>
      </c>
      <c r="R4110" s="2" t="inlineStr"/>
    </row>
    <row r="4111" ht="15" customHeight="1">
      <c r="A4111" t="inlineStr">
        <is>
          <t>A 15800-2025</t>
        </is>
      </c>
      <c r="B4111" s="1" t="n">
        <v>45748.64831018518</v>
      </c>
      <c r="C4111" s="1" t="n">
        <v>45962</v>
      </c>
      <c r="D4111" t="inlineStr">
        <is>
          <t>SKÅNE LÄN</t>
        </is>
      </c>
      <c r="E4111" t="inlineStr">
        <is>
          <t>HÄSSLEHOLM</t>
        </is>
      </c>
      <c r="G4111" t="n">
        <v>0.7</v>
      </c>
      <c r="H4111" t="n">
        <v>0</v>
      </c>
      <c r="I4111" t="n">
        <v>0</v>
      </c>
      <c r="J4111" t="n">
        <v>0</v>
      </c>
      <c r="K4111" t="n">
        <v>0</v>
      </c>
      <c r="L4111" t="n">
        <v>0</v>
      </c>
      <c r="M4111" t="n">
        <v>0</v>
      </c>
      <c r="N4111" t="n">
        <v>0</v>
      </c>
      <c r="O4111" t="n">
        <v>0</v>
      </c>
      <c r="P4111" t="n">
        <v>0</v>
      </c>
      <c r="Q4111" t="n">
        <v>0</v>
      </c>
      <c r="R4111" s="2" t="inlineStr"/>
    </row>
    <row r="4112" ht="15" customHeight="1">
      <c r="A4112" t="inlineStr">
        <is>
          <t>A 16743-2024</t>
        </is>
      </c>
      <c r="B4112" s="1" t="n">
        <v>45410</v>
      </c>
      <c r="C4112" s="1" t="n">
        <v>45962</v>
      </c>
      <c r="D4112" t="inlineStr">
        <is>
          <t>SKÅNE LÄN</t>
        </is>
      </c>
      <c r="E4112" t="inlineStr">
        <is>
          <t>ÖSTRA GÖINGE</t>
        </is>
      </c>
      <c r="G4112" t="n">
        <v>7</v>
      </c>
      <c r="H4112" t="n">
        <v>0</v>
      </c>
      <c r="I4112" t="n">
        <v>0</v>
      </c>
      <c r="J4112" t="n">
        <v>0</v>
      </c>
      <c r="K4112" t="n">
        <v>0</v>
      </c>
      <c r="L4112" t="n">
        <v>0</v>
      </c>
      <c r="M4112" t="n">
        <v>0</v>
      </c>
      <c r="N4112" t="n">
        <v>0</v>
      </c>
      <c r="O4112" t="n">
        <v>0</v>
      </c>
      <c r="P4112" t="n">
        <v>0</v>
      </c>
      <c r="Q4112" t="n">
        <v>0</v>
      </c>
      <c r="R4112" s="2" t="inlineStr"/>
    </row>
    <row r="4113" ht="15" customHeight="1">
      <c r="A4113" t="inlineStr">
        <is>
          <t>A 36921-2024</t>
        </is>
      </c>
      <c r="B4113" s="1" t="n">
        <v>45538.65402777777</v>
      </c>
      <c r="C4113" s="1" t="n">
        <v>45962</v>
      </c>
      <c r="D4113" t="inlineStr">
        <is>
          <t>SKÅNE LÄN</t>
        </is>
      </c>
      <c r="E4113" t="inlineStr">
        <is>
          <t>ÖSTRA GÖINGE</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8512-2024</t>
        </is>
      </c>
      <c r="B4114" s="1" t="n">
        <v>45355.47297453704</v>
      </c>
      <c r="C4114" s="1" t="n">
        <v>45962</v>
      </c>
      <c r="D4114" t="inlineStr">
        <is>
          <t>SKÅNE LÄN</t>
        </is>
      </c>
      <c r="E4114" t="inlineStr">
        <is>
          <t>KRISTIANSTAD</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38323-2023</t>
        </is>
      </c>
      <c r="B4115" s="1" t="n">
        <v>45161</v>
      </c>
      <c r="C4115" s="1" t="n">
        <v>45962</v>
      </c>
      <c r="D4115" t="inlineStr">
        <is>
          <t>SKÅNE LÄN</t>
        </is>
      </c>
      <c r="E4115" t="inlineStr">
        <is>
          <t>KLIPPAN</t>
        </is>
      </c>
      <c r="G4115" t="n">
        <v>3.7</v>
      </c>
      <c r="H4115" t="n">
        <v>0</v>
      </c>
      <c r="I4115" t="n">
        <v>0</v>
      </c>
      <c r="J4115" t="n">
        <v>0</v>
      </c>
      <c r="K4115" t="n">
        <v>0</v>
      </c>
      <c r="L4115" t="n">
        <v>0</v>
      </c>
      <c r="M4115" t="n">
        <v>0</v>
      </c>
      <c r="N4115" t="n">
        <v>0</v>
      </c>
      <c r="O4115" t="n">
        <v>0</v>
      </c>
      <c r="P4115" t="n">
        <v>0</v>
      </c>
      <c r="Q4115" t="n">
        <v>0</v>
      </c>
      <c r="R4115" s="2" t="inlineStr"/>
    </row>
    <row r="4116" ht="15" customHeight="1">
      <c r="A4116" t="inlineStr">
        <is>
          <t>A 38325-2023</t>
        </is>
      </c>
      <c r="B4116" s="1" t="n">
        <v>45161</v>
      </c>
      <c r="C4116" s="1" t="n">
        <v>45962</v>
      </c>
      <c r="D4116" t="inlineStr">
        <is>
          <t>SKÅNE LÄN</t>
        </is>
      </c>
      <c r="E4116" t="inlineStr">
        <is>
          <t>KLIPPAN</t>
        </is>
      </c>
      <c r="G4116" t="n">
        <v>4.1</v>
      </c>
      <c r="H4116" t="n">
        <v>0</v>
      </c>
      <c r="I4116" t="n">
        <v>0</v>
      </c>
      <c r="J4116" t="n">
        <v>0</v>
      </c>
      <c r="K4116" t="n">
        <v>0</v>
      </c>
      <c r="L4116" t="n">
        <v>0</v>
      </c>
      <c r="M4116" t="n">
        <v>0</v>
      </c>
      <c r="N4116" t="n">
        <v>0</v>
      </c>
      <c r="O4116" t="n">
        <v>0</v>
      </c>
      <c r="P4116" t="n">
        <v>0</v>
      </c>
      <c r="Q4116" t="n">
        <v>0</v>
      </c>
      <c r="R4116" s="2" t="inlineStr"/>
    </row>
    <row r="4117" ht="15" customHeight="1">
      <c r="A4117" t="inlineStr">
        <is>
          <t>A 38328-2023</t>
        </is>
      </c>
      <c r="B4117" s="1" t="n">
        <v>45161.78365740741</v>
      </c>
      <c r="C4117" s="1" t="n">
        <v>45962</v>
      </c>
      <c r="D4117" t="inlineStr">
        <is>
          <t>SKÅNE LÄN</t>
        </is>
      </c>
      <c r="E4117" t="inlineStr">
        <is>
          <t>PERSTORP</t>
        </is>
      </c>
      <c r="G4117" t="n">
        <v>0.4</v>
      </c>
      <c r="H4117" t="n">
        <v>0</v>
      </c>
      <c r="I4117" t="n">
        <v>0</v>
      </c>
      <c r="J4117" t="n">
        <v>0</v>
      </c>
      <c r="K4117" t="n">
        <v>0</v>
      </c>
      <c r="L4117" t="n">
        <v>0</v>
      </c>
      <c r="M4117" t="n">
        <v>0</v>
      </c>
      <c r="N4117" t="n">
        <v>0</v>
      </c>
      <c r="O4117" t="n">
        <v>0</v>
      </c>
      <c r="P4117" t="n">
        <v>0</v>
      </c>
      <c r="Q4117" t="n">
        <v>0</v>
      </c>
      <c r="R4117" s="2" t="inlineStr"/>
    </row>
    <row r="4118" ht="15" customHeight="1">
      <c r="A4118" t="inlineStr">
        <is>
          <t>A 28269-2025</t>
        </is>
      </c>
      <c r="B4118" s="1" t="n">
        <v>45818</v>
      </c>
      <c r="C4118" s="1" t="n">
        <v>45962</v>
      </c>
      <c r="D4118" t="inlineStr">
        <is>
          <t>SKÅNE LÄN</t>
        </is>
      </c>
      <c r="E4118" t="inlineStr">
        <is>
          <t>SIMRISHAMN</t>
        </is>
      </c>
      <c r="G4118" t="n">
        <v>6.7</v>
      </c>
      <c r="H4118" t="n">
        <v>0</v>
      </c>
      <c r="I4118" t="n">
        <v>0</v>
      </c>
      <c r="J4118" t="n">
        <v>0</v>
      </c>
      <c r="K4118" t="n">
        <v>0</v>
      </c>
      <c r="L4118" t="n">
        <v>0</v>
      </c>
      <c r="M4118" t="n">
        <v>0</v>
      </c>
      <c r="N4118" t="n">
        <v>0</v>
      </c>
      <c r="O4118" t="n">
        <v>0</v>
      </c>
      <c r="P4118" t="n">
        <v>0</v>
      </c>
      <c r="Q4118" t="n">
        <v>0</v>
      </c>
      <c r="R4118" s="2" t="inlineStr"/>
    </row>
    <row r="4119" ht="15" customHeight="1">
      <c r="A4119" t="inlineStr">
        <is>
          <t>A 28830-2025</t>
        </is>
      </c>
      <c r="B4119" s="1" t="n">
        <v>45820</v>
      </c>
      <c r="C4119" s="1" t="n">
        <v>45962</v>
      </c>
      <c r="D4119" t="inlineStr">
        <is>
          <t>SKÅNE LÄN</t>
        </is>
      </c>
      <c r="E4119" t="inlineStr">
        <is>
          <t>HÖÖR</t>
        </is>
      </c>
      <c r="G4119" t="n">
        <v>3.8</v>
      </c>
      <c r="H4119" t="n">
        <v>0</v>
      </c>
      <c r="I4119" t="n">
        <v>0</v>
      </c>
      <c r="J4119" t="n">
        <v>0</v>
      </c>
      <c r="K4119" t="n">
        <v>0</v>
      </c>
      <c r="L4119" t="n">
        <v>0</v>
      </c>
      <c r="M4119" t="n">
        <v>0</v>
      </c>
      <c r="N4119" t="n">
        <v>0</v>
      </c>
      <c r="O4119" t="n">
        <v>0</v>
      </c>
      <c r="P4119" t="n">
        <v>0</v>
      </c>
      <c r="Q4119" t="n">
        <v>0</v>
      </c>
      <c r="R4119" s="2" t="inlineStr"/>
    </row>
    <row r="4120" ht="15" customHeight="1">
      <c r="A4120" t="inlineStr">
        <is>
          <t>A 45348-2023</t>
        </is>
      </c>
      <c r="B4120" s="1" t="n">
        <v>45191</v>
      </c>
      <c r="C4120" s="1" t="n">
        <v>45962</v>
      </c>
      <c r="D4120" t="inlineStr">
        <is>
          <t>SKÅNE LÄN</t>
        </is>
      </c>
      <c r="E4120" t="inlineStr">
        <is>
          <t>KRISTIANSTAD</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45349-2023</t>
        </is>
      </c>
      <c r="B4121" s="1" t="n">
        <v>45191</v>
      </c>
      <c r="C4121" s="1" t="n">
        <v>45962</v>
      </c>
      <c r="D4121" t="inlineStr">
        <is>
          <t>SKÅNE LÄN</t>
        </is>
      </c>
      <c r="E4121" t="inlineStr">
        <is>
          <t>HÖÖR</t>
        </is>
      </c>
      <c r="G4121" t="n">
        <v>3.1</v>
      </c>
      <c r="H4121" t="n">
        <v>0</v>
      </c>
      <c r="I4121" t="n">
        <v>0</v>
      </c>
      <c r="J4121" t="n">
        <v>0</v>
      </c>
      <c r="K4121" t="n">
        <v>0</v>
      </c>
      <c r="L4121" t="n">
        <v>0</v>
      </c>
      <c r="M4121" t="n">
        <v>0</v>
      </c>
      <c r="N4121" t="n">
        <v>0</v>
      </c>
      <c r="O4121" t="n">
        <v>0</v>
      </c>
      <c r="P4121" t="n">
        <v>0</v>
      </c>
      <c r="Q4121" t="n">
        <v>0</v>
      </c>
      <c r="R4121" s="2" t="inlineStr"/>
    </row>
    <row r="4122" ht="15" customHeight="1">
      <c r="A4122" t="inlineStr">
        <is>
          <t>A 10797-2025</t>
        </is>
      </c>
      <c r="B4122" s="1" t="n">
        <v>45722.50984953704</v>
      </c>
      <c r="C4122" s="1" t="n">
        <v>45962</v>
      </c>
      <c r="D4122" t="inlineStr">
        <is>
          <t>SKÅNE LÄN</t>
        </is>
      </c>
      <c r="E4122" t="inlineStr">
        <is>
          <t>ÖRKELLJUNGA</t>
        </is>
      </c>
      <c r="G4122" t="n">
        <v>15.1</v>
      </c>
      <c r="H4122" t="n">
        <v>0</v>
      </c>
      <c r="I4122" t="n">
        <v>0</v>
      </c>
      <c r="J4122" t="n">
        <v>0</v>
      </c>
      <c r="K4122" t="n">
        <v>0</v>
      </c>
      <c r="L4122" t="n">
        <v>0</v>
      </c>
      <c r="M4122" t="n">
        <v>0</v>
      </c>
      <c r="N4122" t="n">
        <v>0</v>
      </c>
      <c r="O4122" t="n">
        <v>0</v>
      </c>
      <c r="P4122" t="n">
        <v>0</v>
      </c>
      <c r="Q4122" t="n">
        <v>0</v>
      </c>
      <c r="R4122" s="2" t="inlineStr"/>
    </row>
    <row r="4123" ht="15" customHeight="1">
      <c r="A4123" t="inlineStr">
        <is>
          <t>A 34377-2025</t>
        </is>
      </c>
      <c r="B4123" s="1" t="n">
        <v>45846.5358912037</v>
      </c>
      <c r="C4123" s="1" t="n">
        <v>45962</v>
      </c>
      <c r="D4123" t="inlineStr">
        <is>
          <t>SKÅNE LÄN</t>
        </is>
      </c>
      <c r="E4123" t="inlineStr">
        <is>
          <t>KRISTIANSTAD</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1557-2023</t>
        </is>
      </c>
      <c r="B4124" s="1" t="n">
        <v>44937</v>
      </c>
      <c r="C4124" s="1" t="n">
        <v>45962</v>
      </c>
      <c r="D4124" t="inlineStr">
        <is>
          <t>SKÅNE LÄN</t>
        </is>
      </c>
      <c r="E4124" t="inlineStr">
        <is>
          <t>HÄSSLEHOLM</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46998-2025</t>
        </is>
      </c>
      <c r="B4125" s="1" t="n">
        <v>45929.54851851852</v>
      </c>
      <c r="C4125" s="1" t="n">
        <v>45962</v>
      </c>
      <c r="D4125" t="inlineStr">
        <is>
          <t>SKÅNE LÄN</t>
        </is>
      </c>
      <c r="E4125" t="inlineStr">
        <is>
          <t>BJUV</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24579-2023</t>
        </is>
      </c>
      <c r="B4126" s="1" t="n">
        <v>45083</v>
      </c>
      <c r="C4126" s="1" t="n">
        <v>45962</v>
      </c>
      <c r="D4126" t="inlineStr">
        <is>
          <t>SKÅNE LÄN</t>
        </is>
      </c>
      <c r="E4126" t="inlineStr">
        <is>
          <t>KRISTIANSTAD</t>
        </is>
      </c>
      <c r="F4126" t="inlineStr">
        <is>
          <t>Övriga Aktiebolag</t>
        </is>
      </c>
      <c r="G4126" t="n">
        <v>10.5</v>
      </c>
      <c r="H4126" t="n">
        <v>0</v>
      </c>
      <c r="I4126" t="n">
        <v>0</v>
      </c>
      <c r="J4126" t="n">
        <v>0</v>
      </c>
      <c r="K4126" t="n">
        <v>0</v>
      </c>
      <c r="L4126" t="n">
        <v>0</v>
      </c>
      <c r="M4126" t="n">
        <v>0</v>
      </c>
      <c r="N4126" t="n">
        <v>0</v>
      </c>
      <c r="O4126" t="n">
        <v>0</v>
      </c>
      <c r="P4126" t="n">
        <v>0</v>
      </c>
      <c r="Q4126" t="n">
        <v>0</v>
      </c>
      <c r="R4126" s="2" t="inlineStr"/>
    </row>
    <row r="4127" ht="15" customHeight="1">
      <c r="A4127" t="inlineStr">
        <is>
          <t>A 17253-2023</t>
        </is>
      </c>
      <c r="B4127" s="1" t="n">
        <v>45033</v>
      </c>
      <c r="C4127" s="1" t="n">
        <v>45962</v>
      </c>
      <c r="D4127" t="inlineStr">
        <is>
          <t>SKÅNE LÄN</t>
        </is>
      </c>
      <c r="E4127" t="inlineStr">
        <is>
          <t>BROMÖLLA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12148-2024</t>
        </is>
      </c>
      <c r="B4128" s="1" t="n">
        <v>45377</v>
      </c>
      <c r="C4128" s="1" t="n">
        <v>45962</v>
      </c>
      <c r="D4128" t="inlineStr">
        <is>
          <t>SKÅNE LÄN</t>
        </is>
      </c>
      <c r="E4128" t="inlineStr">
        <is>
          <t>ÄNGELHOLM</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34687-2025</t>
        </is>
      </c>
      <c r="B4129" s="1" t="n">
        <v>45848.43571759259</v>
      </c>
      <c r="C4129" s="1" t="n">
        <v>45962</v>
      </c>
      <c r="D4129" t="inlineStr">
        <is>
          <t>SKÅNE LÄN</t>
        </is>
      </c>
      <c r="E4129" t="inlineStr">
        <is>
          <t>ÖSTRA GÖINGE</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27464-2022</t>
        </is>
      </c>
      <c r="B4130" s="1" t="n">
        <v>44742.58704861111</v>
      </c>
      <c r="C4130" s="1" t="n">
        <v>45962</v>
      </c>
      <c r="D4130" t="inlineStr">
        <is>
          <t>SKÅNE LÄN</t>
        </is>
      </c>
      <c r="E4130" t="inlineStr">
        <is>
          <t>HÄSSLEHOLM</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34907-2025</t>
        </is>
      </c>
      <c r="B4131" s="1" t="n">
        <v>45849.52086805556</v>
      </c>
      <c r="C4131" s="1" t="n">
        <v>45962</v>
      </c>
      <c r="D4131" t="inlineStr">
        <is>
          <t>SKÅNE LÄN</t>
        </is>
      </c>
      <c r="E4131" t="inlineStr">
        <is>
          <t>PERSTORP</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19621-2021</t>
        </is>
      </c>
      <c r="B4132" s="1" t="n">
        <v>44312.60537037037</v>
      </c>
      <c r="C4132" s="1" t="n">
        <v>45962</v>
      </c>
      <c r="D4132" t="inlineStr">
        <is>
          <t>SKÅNE LÄN</t>
        </is>
      </c>
      <c r="E4132" t="inlineStr">
        <is>
          <t>PERSTORP</t>
        </is>
      </c>
      <c r="G4132" t="n">
        <v>5.6</v>
      </c>
      <c r="H4132" t="n">
        <v>0</v>
      </c>
      <c r="I4132" t="n">
        <v>0</v>
      </c>
      <c r="J4132" t="n">
        <v>0</v>
      </c>
      <c r="K4132" t="n">
        <v>0</v>
      </c>
      <c r="L4132" t="n">
        <v>0</v>
      </c>
      <c r="M4132" t="n">
        <v>0</v>
      </c>
      <c r="N4132" t="n">
        <v>0</v>
      </c>
      <c r="O4132" t="n">
        <v>0</v>
      </c>
      <c r="P4132" t="n">
        <v>0</v>
      </c>
      <c r="Q4132" t="n">
        <v>0</v>
      </c>
      <c r="R4132" s="2" t="inlineStr"/>
    </row>
    <row r="4133" ht="15" customHeight="1">
      <c r="A4133" t="inlineStr">
        <is>
          <t>A 826-2024</t>
        </is>
      </c>
      <c r="B4133" s="1" t="n">
        <v>45300.66396990741</v>
      </c>
      <c r="C4133" s="1" t="n">
        <v>45962</v>
      </c>
      <c r="D4133" t="inlineStr">
        <is>
          <t>SKÅNE LÄN</t>
        </is>
      </c>
      <c r="E4133" t="inlineStr">
        <is>
          <t>KRISTIANSTAD</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38470-2025</t>
        </is>
      </c>
      <c r="B4134" s="1" t="n">
        <v>45884.300625</v>
      </c>
      <c r="C4134" s="1" t="n">
        <v>45962</v>
      </c>
      <c r="D4134" t="inlineStr">
        <is>
          <t>SKÅNE LÄN</t>
        </is>
      </c>
      <c r="E4134" t="inlineStr">
        <is>
          <t>KRISTIANSTAD</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843-2024</t>
        </is>
      </c>
      <c r="B4135" s="1" t="n">
        <v>45300</v>
      </c>
      <c r="C4135" s="1" t="n">
        <v>45962</v>
      </c>
      <c r="D4135" t="inlineStr">
        <is>
          <t>SKÅNE LÄN</t>
        </is>
      </c>
      <c r="E4135" t="inlineStr">
        <is>
          <t>SKURUP</t>
        </is>
      </c>
      <c r="G4135" t="n">
        <v>0.8</v>
      </c>
      <c r="H4135" t="n">
        <v>0</v>
      </c>
      <c r="I4135" t="n">
        <v>0</v>
      </c>
      <c r="J4135" t="n">
        <v>0</v>
      </c>
      <c r="K4135" t="n">
        <v>0</v>
      </c>
      <c r="L4135" t="n">
        <v>0</v>
      </c>
      <c r="M4135" t="n">
        <v>0</v>
      </c>
      <c r="N4135" t="n">
        <v>0</v>
      </c>
      <c r="O4135" t="n">
        <v>0</v>
      </c>
      <c r="P4135" t="n">
        <v>0</v>
      </c>
      <c r="Q4135" t="n">
        <v>0</v>
      </c>
      <c r="R4135" s="2" t="inlineStr"/>
    </row>
    <row r="4136" ht="15" customHeight="1">
      <c r="A4136" t="inlineStr">
        <is>
          <t>A 844-2024</t>
        </is>
      </c>
      <c r="B4136" s="1" t="n">
        <v>45300</v>
      </c>
      <c r="C4136" s="1" t="n">
        <v>45962</v>
      </c>
      <c r="D4136" t="inlineStr">
        <is>
          <t>SKÅNE LÄN</t>
        </is>
      </c>
      <c r="E4136" t="inlineStr">
        <is>
          <t>SKURUP</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885-2024</t>
        </is>
      </c>
      <c r="B4137" s="1" t="n">
        <v>45301.39177083333</v>
      </c>
      <c r="C4137" s="1" t="n">
        <v>45962</v>
      </c>
      <c r="D4137" t="inlineStr">
        <is>
          <t>SKÅNE LÄN</t>
        </is>
      </c>
      <c r="E4137" t="inlineStr">
        <is>
          <t>KRISTIANSTAD</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19367-2025</t>
        </is>
      </c>
      <c r="B4138" s="1" t="n">
        <v>45769</v>
      </c>
      <c r="C4138" s="1" t="n">
        <v>45962</v>
      </c>
      <c r="D4138" t="inlineStr">
        <is>
          <t>SKÅNE LÄN</t>
        </is>
      </c>
      <c r="E4138" t="inlineStr">
        <is>
          <t>OSBY</t>
        </is>
      </c>
      <c r="G4138" t="n">
        <v>6.8</v>
      </c>
      <c r="H4138" t="n">
        <v>0</v>
      </c>
      <c r="I4138" t="n">
        <v>0</v>
      </c>
      <c r="J4138" t="n">
        <v>0</v>
      </c>
      <c r="K4138" t="n">
        <v>0</v>
      </c>
      <c r="L4138" t="n">
        <v>0</v>
      </c>
      <c r="M4138" t="n">
        <v>0</v>
      </c>
      <c r="N4138" t="n">
        <v>0</v>
      </c>
      <c r="O4138" t="n">
        <v>0</v>
      </c>
      <c r="P4138" t="n">
        <v>0</v>
      </c>
      <c r="Q4138" t="n">
        <v>0</v>
      </c>
      <c r="R4138" s="2" t="inlineStr"/>
    </row>
    <row r="4139" ht="15" customHeight="1">
      <c r="A4139" t="inlineStr">
        <is>
          <t>A 34869-2025</t>
        </is>
      </c>
      <c r="B4139" s="1" t="n">
        <v>45849</v>
      </c>
      <c r="C4139" s="1" t="n">
        <v>45962</v>
      </c>
      <c r="D4139" t="inlineStr">
        <is>
          <t>SKÅNE LÄN</t>
        </is>
      </c>
      <c r="E4139" t="inlineStr">
        <is>
          <t>HÄSSLEHOLM</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19500-2022</t>
        </is>
      </c>
      <c r="B4140" s="1" t="n">
        <v>44693.50188657407</v>
      </c>
      <c r="C4140" s="1" t="n">
        <v>45962</v>
      </c>
      <c r="D4140" t="inlineStr">
        <is>
          <t>SKÅNE LÄN</t>
        </is>
      </c>
      <c r="E4140" t="inlineStr">
        <is>
          <t>ÄNGELHOLM</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2911-2025</t>
        </is>
      </c>
      <c r="B4141" s="1" t="n">
        <v>45677.8484375</v>
      </c>
      <c r="C4141" s="1" t="n">
        <v>45962</v>
      </c>
      <c r="D4141" t="inlineStr">
        <is>
          <t>SKÅNE LÄN</t>
        </is>
      </c>
      <c r="E4141" t="inlineStr">
        <is>
          <t>OSBY</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47609-2023</t>
        </is>
      </c>
      <c r="B4142" s="1" t="n">
        <v>45203</v>
      </c>
      <c r="C4142" s="1" t="n">
        <v>45962</v>
      </c>
      <c r="D4142" t="inlineStr">
        <is>
          <t>SKÅNE LÄN</t>
        </is>
      </c>
      <c r="E4142" t="inlineStr">
        <is>
          <t>HÖRBY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34690-2025</t>
        </is>
      </c>
      <c r="B4143" s="1" t="n">
        <v>45848.44622685185</v>
      </c>
      <c r="C4143" s="1" t="n">
        <v>45962</v>
      </c>
      <c r="D4143" t="inlineStr">
        <is>
          <t>SKÅNE LÄN</t>
        </is>
      </c>
      <c r="E4143" t="inlineStr">
        <is>
          <t>ÖSTRA GÖINGE</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47652-2023</t>
        </is>
      </c>
      <c r="B4144" s="1" t="n">
        <v>45198</v>
      </c>
      <c r="C4144" s="1" t="n">
        <v>45962</v>
      </c>
      <c r="D4144" t="inlineStr">
        <is>
          <t>SKÅNE LÄN</t>
        </is>
      </c>
      <c r="E4144" t="inlineStr">
        <is>
          <t>KRISTIANSTAD</t>
        </is>
      </c>
      <c r="G4144" t="n">
        <v>0.4</v>
      </c>
      <c r="H4144" t="n">
        <v>0</v>
      </c>
      <c r="I4144" t="n">
        <v>0</v>
      </c>
      <c r="J4144" t="n">
        <v>0</v>
      </c>
      <c r="K4144" t="n">
        <v>0</v>
      </c>
      <c r="L4144" t="n">
        <v>0</v>
      </c>
      <c r="M4144" t="n">
        <v>0</v>
      </c>
      <c r="N4144" t="n">
        <v>0</v>
      </c>
      <c r="O4144" t="n">
        <v>0</v>
      </c>
      <c r="P4144" t="n">
        <v>0</v>
      </c>
      <c r="Q4144" t="n">
        <v>0</v>
      </c>
      <c r="R4144" s="2" t="inlineStr"/>
    </row>
    <row r="4145" ht="15" customHeight="1">
      <c r="A4145" t="inlineStr">
        <is>
          <t>A 11115-2025</t>
        </is>
      </c>
      <c r="B4145" s="1" t="n">
        <v>45723</v>
      </c>
      <c r="C4145" s="1" t="n">
        <v>45962</v>
      </c>
      <c r="D4145" t="inlineStr">
        <is>
          <t>SKÅNE LÄN</t>
        </is>
      </c>
      <c r="E4145" t="inlineStr">
        <is>
          <t>ÖRKELLJUNGA</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72100-2021</t>
        </is>
      </c>
      <c r="B4146" s="1" t="n">
        <v>44544.54547453704</v>
      </c>
      <c r="C4146" s="1" t="n">
        <v>45962</v>
      </c>
      <c r="D4146" t="inlineStr">
        <is>
          <t>SKÅNE LÄN</t>
        </is>
      </c>
      <c r="E4146" t="inlineStr">
        <is>
          <t>KRISTIANSTAD</t>
        </is>
      </c>
      <c r="G4146" t="n">
        <v>0.6</v>
      </c>
      <c r="H4146" t="n">
        <v>0</v>
      </c>
      <c r="I4146" t="n">
        <v>0</v>
      </c>
      <c r="J4146" t="n">
        <v>0</v>
      </c>
      <c r="K4146" t="n">
        <v>0</v>
      </c>
      <c r="L4146" t="n">
        <v>0</v>
      </c>
      <c r="M4146" t="n">
        <v>0</v>
      </c>
      <c r="N4146" t="n">
        <v>0</v>
      </c>
      <c r="O4146" t="n">
        <v>0</v>
      </c>
      <c r="P4146" t="n">
        <v>0</v>
      </c>
      <c r="Q4146" t="n">
        <v>0</v>
      </c>
      <c r="R4146" s="2" t="inlineStr"/>
    </row>
    <row r="4147" ht="15" customHeight="1">
      <c r="A4147" t="inlineStr">
        <is>
          <t>A 24115-2022</t>
        </is>
      </c>
      <c r="B4147" s="1" t="n">
        <v>44725</v>
      </c>
      <c r="C4147" s="1" t="n">
        <v>45962</v>
      </c>
      <c r="D4147" t="inlineStr">
        <is>
          <t>SKÅNE LÄN</t>
        </is>
      </c>
      <c r="E4147" t="inlineStr">
        <is>
          <t>ESLÖV</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23785-2023</t>
        </is>
      </c>
      <c r="B4148" s="1" t="n">
        <v>45078.29748842592</v>
      </c>
      <c r="C4148" s="1" t="n">
        <v>45962</v>
      </c>
      <c r="D4148" t="inlineStr">
        <is>
          <t>SKÅNE LÄN</t>
        </is>
      </c>
      <c r="E4148" t="inlineStr">
        <is>
          <t>PERSTORP</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19282-2025</t>
        </is>
      </c>
      <c r="B4149" s="1" t="n">
        <v>45769</v>
      </c>
      <c r="C4149" s="1" t="n">
        <v>45962</v>
      </c>
      <c r="D4149" t="inlineStr">
        <is>
          <t>SKÅNE LÄN</t>
        </is>
      </c>
      <c r="E4149" t="inlineStr">
        <is>
          <t>SVALÖV</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6798-2025</t>
        </is>
      </c>
      <c r="B4150" s="1" t="n">
        <v>45700.668125</v>
      </c>
      <c r="C4150" s="1" t="n">
        <v>45962</v>
      </c>
      <c r="D4150" t="inlineStr">
        <is>
          <t>SKÅNE LÄN</t>
        </is>
      </c>
      <c r="E4150" t="inlineStr">
        <is>
          <t>HÄSSLEHOLM</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26827-2024</t>
        </is>
      </c>
      <c r="B4151" s="1" t="n">
        <v>45470.5659837963</v>
      </c>
      <c r="C4151" s="1" t="n">
        <v>45962</v>
      </c>
      <c r="D4151" t="inlineStr">
        <is>
          <t>SKÅNE LÄN</t>
        </is>
      </c>
      <c r="E4151" t="inlineStr">
        <is>
          <t>KRISTIANSTAD</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34237-2025</t>
        </is>
      </c>
      <c r="B4152" s="1" t="n">
        <v>45844</v>
      </c>
      <c r="C4152" s="1" t="n">
        <v>45962</v>
      </c>
      <c r="D4152" t="inlineStr">
        <is>
          <t>SKÅNE LÄN</t>
        </is>
      </c>
      <c r="E4152" t="inlineStr">
        <is>
          <t>OSBY</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32158-2024</t>
        </is>
      </c>
      <c r="B4153" s="1" t="n">
        <v>45511.57498842593</v>
      </c>
      <c r="C4153" s="1" t="n">
        <v>45962</v>
      </c>
      <c r="D4153" t="inlineStr">
        <is>
          <t>SKÅNE LÄN</t>
        </is>
      </c>
      <c r="E4153" t="inlineStr">
        <is>
          <t>KRISTIANSTAD</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20128-2023</t>
        </is>
      </c>
      <c r="B4154" s="1" t="n">
        <v>45055</v>
      </c>
      <c r="C4154" s="1" t="n">
        <v>45962</v>
      </c>
      <c r="D4154" t="inlineStr">
        <is>
          <t>SKÅNE LÄN</t>
        </is>
      </c>
      <c r="E4154" t="inlineStr">
        <is>
          <t>KLIPPAN</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37546-2021</t>
        </is>
      </c>
      <c r="B4155" s="1" t="n">
        <v>44390</v>
      </c>
      <c r="C4155" s="1" t="n">
        <v>45962</v>
      </c>
      <c r="D4155" t="inlineStr">
        <is>
          <t>SKÅNE LÄN</t>
        </is>
      </c>
      <c r="E4155" t="inlineStr">
        <is>
          <t>KRISTIANSTAD</t>
        </is>
      </c>
      <c r="F4155" t="inlineStr">
        <is>
          <t>Kyrkan</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36884-2023</t>
        </is>
      </c>
      <c r="B4156" s="1" t="n">
        <v>45154.6050925926</v>
      </c>
      <c r="C4156" s="1" t="n">
        <v>45962</v>
      </c>
      <c r="D4156" t="inlineStr">
        <is>
          <t>SKÅNE LÄN</t>
        </is>
      </c>
      <c r="E4156" t="inlineStr">
        <is>
          <t>HÖÖR</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36952-2023</t>
        </is>
      </c>
      <c r="B4157" s="1" t="n">
        <v>45154</v>
      </c>
      <c r="C4157" s="1" t="n">
        <v>45962</v>
      </c>
      <c r="D4157" t="inlineStr">
        <is>
          <t>SKÅNE LÄN</t>
        </is>
      </c>
      <c r="E4157" t="inlineStr">
        <is>
          <t>OSBY</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43347-2024</t>
        </is>
      </c>
      <c r="B4158" s="1" t="n">
        <v>45568</v>
      </c>
      <c r="C4158" s="1" t="n">
        <v>45962</v>
      </c>
      <c r="D4158" t="inlineStr">
        <is>
          <t>SKÅNE LÄN</t>
        </is>
      </c>
      <c r="E4158" t="inlineStr">
        <is>
          <t>KRISTIANSTAD</t>
        </is>
      </c>
      <c r="F4158" t="inlineStr">
        <is>
          <t>Kyrkan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19884-2024</t>
        </is>
      </c>
      <c r="B4159" s="1" t="n">
        <v>45433</v>
      </c>
      <c r="C4159" s="1" t="n">
        <v>45962</v>
      </c>
      <c r="D4159" t="inlineStr">
        <is>
          <t>SKÅNE LÄN</t>
        </is>
      </c>
      <c r="E4159" t="inlineStr">
        <is>
          <t>SJÖBO</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8506-2025</t>
        </is>
      </c>
      <c r="B4160" s="1" t="n">
        <v>45709.53076388889</v>
      </c>
      <c r="C4160" s="1" t="n">
        <v>45962</v>
      </c>
      <c r="D4160" t="inlineStr">
        <is>
          <t>SKÅNE LÄN</t>
        </is>
      </c>
      <c r="E4160" t="inlineStr">
        <is>
          <t>OSBY</t>
        </is>
      </c>
      <c r="F4160" t="inlineStr">
        <is>
          <t>Kommuner</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45728-2022</t>
        </is>
      </c>
      <c r="B4161" s="1" t="n">
        <v>44846</v>
      </c>
      <c r="C4161" s="1" t="n">
        <v>45962</v>
      </c>
      <c r="D4161" t="inlineStr">
        <is>
          <t>SKÅNE LÄN</t>
        </is>
      </c>
      <c r="E4161" t="inlineStr">
        <is>
          <t>KRISTIANSTAD</t>
        </is>
      </c>
      <c r="F4161" t="inlineStr">
        <is>
          <t>Övriga Aktiebolag</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10478-2025</t>
        </is>
      </c>
      <c r="B4162" s="1" t="n">
        <v>45721.30579861111</v>
      </c>
      <c r="C4162" s="1" t="n">
        <v>45962</v>
      </c>
      <c r="D4162" t="inlineStr">
        <is>
          <t>SKÅNE LÄN</t>
        </is>
      </c>
      <c r="E4162" t="inlineStr">
        <is>
          <t>KRISTIANSTAD</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10752-2025</t>
        </is>
      </c>
      <c r="B4163" s="1" t="n">
        <v>45722</v>
      </c>
      <c r="C4163" s="1" t="n">
        <v>45962</v>
      </c>
      <c r="D4163" t="inlineStr">
        <is>
          <t>SKÅNE LÄN</t>
        </is>
      </c>
      <c r="E4163" t="inlineStr">
        <is>
          <t>HÄSSLEHOLM</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13897-2024</t>
        </is>
      </c>
      <c r="B4164" s="1" t="n">
        <v>45391</v>
      </c>
      <c r="C4164" s="1" t="n">
        <v>45962</v>
      </c>
      <c r="D4164" t="inlineStr">
        <is>
          <t>SKÅNE LÄN</t>
        </is>
      </c>
      <c r="E4164" t="inlineStr">
        <is>
          <t>HÄSSLEHOLM</t>
        </is>
      </c>
      <c r="F4164" t="inlineStr">
        <is>
          <t>Kommuner</t>
        </is>
      </c>
      <c r="G4164" t="n">
        <v>4</v>
      </c>
      <c r="H4164" t="n">
        <v>0</v>
      </c>
      <c r="I4164" t="n">
        <v>0</v>
      </c>
      <c r="J4164" t="n">
        <v>0</v>
      </c>
      <c r="K4164" t="n">
        <v>0</v>
      </c>
      <c r="L4164" t="n">
        <v>0</v>
      </c>
      <c r="M4164" t="n">
        <v>0</v>
      </c>
      <c r="N4164" t="n">
        <v>0</v>
      </c>
      <c r="O4164" t="n">
        <v>0</v>
      </c>
      <c r="P4164" t="n">
        <v>0</v>
      </c>
      <c r="Q4164" t="n">
        <v>0</v>
      </c>
      <c r="R4164" s="2" t="inlineStr"/>
    </row>
    <row r="4165" ht="15" customHeight="1">
      <c r="A4165" t="inlineStr">
        <is>
          <t>A 13651-2023</t>
        </is>
      </c>
      <c r="B4165" s="1" t="n">
        <v>45006</v>
      </c>
      <c r="C4165" s="1" t="n">
        <v>45962</v>
      </c>
      <c r="D4165" t="inlineStr">
        <is>
          <t>SKÅNE LÄN</t>
        </is>
      </c>
      <c r="E4165" t="inlineStr">
        <is>
          <t>HELSINGBORG</t>
        </is>
      </c>
      <c r="G4165" t="n">
        <v>2.2</v>
      </c>
      <c r="H4165" t="n">
        <v>0</v>
      </c>
      <c r="I4165" t="n">
        <v>0</v>
      </c>
      <c r="J4165" t="n">
        <v>0</v>
      </c>
      <c r="K4165" t="n">
        <v>0</v>
      </c>
      <c r="L4165" t="n">
        <v>0</v>
      </c>
      <c r="M4165" t="n">
        <v>0</v>
      </c>
      <c r="N4165" t="n">
        <v>0</v>
      </c>
      <c r="O4165" t="n">
        <v>0</v>
      </c>
      <c r="P4165" t="n">
        <v>0</v>
      </c>
      <c r="Q4165" t="n">
        <v>0</v>
      </c>
      <c r="R4165" s="2" t="inlineStr"/>
    </row>
    <row r="4166" ht="15" customHeight="1">
      <c r="A4166" t="inlineStr">
        <is>
          <t>A 56355-2023</t>
        </is>
      </c>
      <c r="B4166" s="1" t="n">
        <v>45243.3702662037</v>
      </c>
      <c r="C4166" s="1" t="n">
        <v>45962</v>
      </c>
      <c r="D4166" t="inlineStr">
        <is>
          <t>SKÅNE LÄN</t>
        </is>
      </c>
      <c r="E4166" t="inlineStr">
        <is>
          <t>HÄSSLEHOLM</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28161-2025</t>
        </is>
      </c>
      <c r="B4167" s="1" t="n">
        <v>45818</v>
      </c>
      <c r="C4167" s="1" t="n">
        <v>45962</v>
      </c>
      <c r="D4167" t="inlineStr">
        <is>
          <t>SKÅNE LÄN</t>
        </is>
      </c>
      <c r="E4167" t="inlineStr">
        <is>
          <t>KRISTIANSTAD</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58944-2024</t>
        </is>
      </c>
      <c r="B4168" s="1" t="n">
        <v>45636.54423611111</v>
      </c>
      <c r="C4168" s="1" t="n">
        <v>45962</v>
      </c>
      <c r="D4168" t="inlineStr">
        <is>
          <t>SKÅNE LÄN</t>
        </is>
      </c>
      <c r="E4168" t="inlineStr">
        <is>
          <t>ÖSTRA GÖINGE</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2252-2025</t>
        </is>
      </c>
      <c r="B4169" s="1" t="n">
        <v>45673</v>
      </c>
      <c r="C4169" s="1" t="n">
        <v>45962</v>
      </c>
      <c r="D4169" t="inlineStr">
        <is>
          <t>SKÅNE LÄN</t>
        </is>
      </c>
      <c r="E4169" t="inlineStr">
        <is>
          <t>KLIPPAN</t>
        </is>
      </c>
      <c r="G4169" t="n">
        <v>0.3</v>
      </c>
      <c r="H4169" t="n">
        <v>0</v>
      </c>
      <c r="I4169" t="n">
        <v>0</v>
      </c>
      <c r="J4169" t="n">
        <v>0</v>
      </c>
      <c r="K4169" t="n">
        <v>0</v>
      </c>
      <c r="L4169" t="n">
        <v>0</v>
      </c>
      <c r="M4169" t="n">
        <v>0</v>
      </c>
      <c r="N4169" t="n">
        <v>0</v>
      </c>
      <c r="O4169" t="n">
        <v>0</v>
      </c>
      <c r="P4169" t="n">
        <v>0</v>
      </c>
      <c r="Q4169" t="n">
        <v>0</v>
      </c>
      <c r="R4169" s="2" t="inlineStr"/>
    </row>
    <row r="4170" ht="15" customHeight="1">
      <c r="A4170" t="inlineStr">
        <is>
          <t>A 6591-2025</t>
        </is>
      </c>
      <c r="B4170" s="1" t="n">
        <v>45700.30478009259</v>
      </c>
      <c r="C4170" s="1" t="n">
        <v>45962</v>
      </c>
      <c r="D4170" t="inlineStr">
        <is>
          <t>SKÅNE LÄN</t>
        </is>
      </c>
      <c r="E4170" t="inlineStr">
        <is>
          <t>HÖRBY</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22029-2022</t>
        </is>
      </c>
      <c r="B4171" s="1" t="n">
        <v>44711.62016203703</v>
      </c>
      <c r="C4171" s="1" t="n">
        <v>45962</v>
      </c>
      <c r="D4171" t="inlineStr">
        <is>
          <t>SKÅNE LÄN</t>
        </is>
      </c>
      <c r="E4171" t="inlineStr">
        <is>
          <t>OSBY</t>
        </is>
      </c>
      <c r="G4171" t="n">
        <v>6.3</v>
      </c>
      <c r="H4171" t="n">
        <v>0</v>
      </c>
      <c r="I4171" t="n">
        <v>0</v>
      </c>
      <c r="J4171" t="n">
        <v>0</v>
      </c>
      <c r="K4171" t="n">
        <v>0</v>
      </c>
      <c r="L4171" t="n">
        <v>0</v>
      </c>
      <c r="M4171" t="n">
        <v>0</v>
      </c>
      <c r="N4171" t="n">
        <v>0</v>
      </c>
      <c r="O4171" t="n">
        <v>0</v>
      </c>
      <c r="P4171" t="n">
        <v>0</v>
      </c>
      <c r="Q4171" t="n">
        <v>0</v>
      </c>
      <c r="R4171" s="2" t="inlineStr"/>
    </row>
    <row r="4172" ht="15" customHeight="1">
      <c r="A4172" t="inlineStr">
        <is>
          <t>A 40000-2025</t>
        </is>
      </c>
      <c r="B4172" s="1" t="n">
        <v>45894</v>
      </c>
      <c r="C4172" s="1" t="n">
        <v>45962</v>
      </c>
      <c r="D4172" t="inlineStr">
        <is>
          <t>SKÅNE LÄN</t>
        </is>
      </c>
      <c r="E4172" t="inlineStr">
        <is>
          <t>KRISTIANSTAD</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67613-2021</t>
        </is>
      </c>
      <c r="B4173" s="1" t="n">
        <v>44524.65744212963</v>
      </c>
      <c r="C4173" s="1" t="n">
        <v>45962</v>
      </c>
      <c r="D4173" t="inlineStr">
        <is>
          <t>SKÅNE LÄN</t>
        </is>
      </c>
      <c r="E4173" t="inlineStr">
        <is>
          <t>OSBY</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67616-2021</t>
        </is>
      </c>
      <c r="B4174" s="1" t="n">
        <v>44524.66100694444</v>
      </c>
      <c r="C4174" s="1" t="n">
        <v>45962</v>
      </c>
      <c r="D4174" t="inlineStr">
        <is>
          <t>SKÅNE LÄN</t>
        </is>
      </c>
      <c r="E4174" t="inlineStr">
        <is>
          <t>OSBY</t>
        </is>
      </c>
      <c r="G4174" t="n">
        <v>2.6</v>
      </c>
      <c r="H4174" t="n">
        <v>0</v>
      </c>
      <c r="I4174" t="n">
        <v>0</v>
      </c>
      <c r="J4174" t="n">
        <v>0</v>
      </c>
      <c r="K4174" t="n">
        <v>0</v>
      </c>
      <c r="L4174" t="n">
        <v>0</v>
      </c>
      <c r="M4174" t="n">
        <v>0</v>
      </c>
      <c r="N4174" t="n">
        <v>0</v>
      </c>
      <c r="O4174" t="n">
        <v>0</v>
      </c>
      <c r="P4174" t="n">
        <v>0</v>
      </c>
      <c r="Q4174" t="n">
        <v>0</v>
      </c>
      <c r="R4174" s="2" t="inlineStr"/>
    </row>
    <row r="4175" ht="15" customHeight="1">
      <c r="A4175" t="inlineStr">
        <is>
          <t>A 16787-2025</t>
        </is>
      </c>
      <c r="B4175" s="1" t="n">
        <v>45754.60696759259</v>
      </c>
      <c r="C4175" s="1" t="n">
        <v>45962</v>
      </c>
      <c r="D4175" t="inlineStr">
        <is>
          <t>SKÅNE LÄN</t>
        </is>
      </c>
      <c r="E4175" t="inlineStr">
        <is>
          <t>HÖÖR</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1879-2025</t>
        </is>
      </c>
      <c r="B4176" s="1" t="n">
        <v>45671</v>
      </c>
      <c r="C4176" s="1" t="n">
        <v>45962</v>
      </c>
      <c r="D4176" t="inlineStr">
        <is>
          <t>SKÅNE LÄN</t>
        </is>
      </c>
      <c r="E4176" t="inlineStr">
        <is>
          <t>SJÖBO</t>
        </is>
      </c>
      <c r="G4176" t="n">
        <v>0.5</v>
      </c>
      <c r="H4176" t="n">
        <v>0</v>
      </c>
      <c r="I4176" t="n">
        <v>0</v>
      </c>
      <c r="J4176" t="n">
        <v>0</v>
      </c>
      <c r="K4176" t="n">
        <v>0</v>
      </c>
      <c r="L4176" t="n">
        <v>0</v>
      </c>
      <c r="M4176" t="n">
        <v>0</v>
      </c>
      <c r="N4176" t="n">
        <v>0</v>
      </c>
      <c r="O4176" t="n">
        <v>0</v>
      </c>
      <c r="P4176" t="n">
        <v>0</v>
      </c>
      <c r="Q4176" t="n">
        <v>0</v>
      </c>
      <c r="R4176" s="2" t="inlineStr"/>
    </row>
    <row r="4177" ht="15" customHeight="1">
      <c r="A4177" t="inlineStr">
        <is>
          <t>A 9239-2025</t>
        </is>
      </c>
      <c r="B4177" s="1" t="n">
        <v>45714</v>
      </c>
      <c r="C4177" s="1" t="n">
        <v>45962</v>
      </c>
      <c r="D4177" t="inlineStr">
        <is>
          <t>SKÅNE LÄN</t>
        </is>
      </c>
      <c r="E4177" t="inlineStr">
        <is>
          <t>HÄSSLEHOLM</t>
        </is>
      </c>
      <c r="G4177" t="n">
        <v>1.8</v>
      </c>
      <c r="H4177" t="n">
        <v>0</v>
      </c>
      <c r="I4177" t="n">
        <v>0</v>
      </c>
      <c r="J4177" t="n">
        <v>0</v>
      </c>
      <c r="K4177" t="n">
        <v>0</v>
      </c>
      <c r="L4177" t="n">
        <v>0</v>
      </c>
      <c r="M4177" t="n">
        <v>0</v>
      </c>
      <c r="N4177" t="n">
        <v>0</v>
      </c>
      <c r="O4177" t="n">
        <v>0</v>
      </c>
      <c r="P4177" t="n">
        <v>0</v>
      </c>
      <c r="Q4177" t="n">
        <v>0</v>
      </c>
      <c r="R4177" s="2" t="inlineStr"/>
    </row>
    <row r="4178" ht="15" customHeight="1">
      <c r="A4178" t="inlineStr">
        <is>
          <t>A 48173-2024</t>
        </is>
      </c>
      <c r="B4178" s="1" t="n">
        <v>45589.77721064815</v>
      </c>
      <c r="C4178" s="1" t="n">
        <v>45962</v>
      </c>
      <c r="D4178" t="inlineStr">
        <is>
          <t>SKÅNE LÄN</t>
        </is>
      </c>
      <c r="E4178" t="inlineStr">
        <is>
          <t>KRISTIANSTAD</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6152-2024</t>
        </is>
      </c>
      <c r="B4179" s="1" t="n">
        <v>45337</v>
      </c>
      <c r="C4179" s="1" t="n">
        <v>45962</v>
      </c>
      <c r="D4179" t="inlineStr">
        <is>
          <t>SKÅNE LÄN</t>
        </is>
      </c>
      <c r="E4179" t="inlineStr">
        <is>
          <t>ÖSTRA GÖINGE</t>
        </is>
      </c>
      <c r="G4179" t="n">
        <v>3.1</v>
      </c>
      <c r="H4179" t="n">
        <v>0</v>
      </c>
      <c r="I4179" t="n">
        <v>0</v>
      </c>
      <c r="J4179" t="n">
        <v>0</v>
      </c>
      <c r="K4179" t="n">
        <v>0</v>
      </c>
      <c r="L4179" t="n">
        <v>0</v>
      </c>
      <c r="M4179" t="n">
        <v>0</v>
      </c>
      <c r="N4179" t="n">
        <v>0</v>
      </c>
      <c r="O4179" t="n">
        <v>0</v>
      </c>
      <c r="P4179" t="n">
        <v>0</v>
      </c>
      <c r="Q4179" t="n">
        <v>0</v>
      </c>
      <c r="R4179" s="2" t="inlineStr"/>
    </row>
    <row r="4180" ht="15" customHeight="1">
      <c r="A4180" t="inlineStr">
        <is>
          <t>A 35587-2024</t>
        </is>
      </c>
      <c r="B4180" s="1" t="n">
        <v>45531</v>
      </c>
      <c r="C4180" s="1" t="n">
        <v>45962</v>
      </c>
      <c r="D4180" t="inlineStr">
        <is>
          <t>SKÅNE LÄN</t>
        </is>
      </c>
      <c r="E4180" t="inlineStr">
        <is>
          <t>SVALÖV</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5961-2025</t>
        </is>
      </c>
      <c r="B4181" s="1" t="n">
        <v>45695.48664351852</v>
      </c>
      <c r="C4181" s="1" t="n">
        <v>45962</v>
      </c>
      <c r="D4181" t="inlineStr">
        <is>
          <t>SKÅNE LÄN</t>
        </is>
      </c>
      <c r="E4181" t="inlineStr">
        <is>
          <t>BROMÖLLA</t>
        </is>
      </c>
      <c r="G4181" t="n">
        <v>12.9</v>
      </c>
      <c r="H4181" t="n">
        <v>0</v>
      </c>
      <c r="I4181" t="n">
        <v>0</v>
      </c>
      <c r="J4181" t="n">
        <v>0</v>
      </c>
      <c r="K4181" t="n">
        <v>0</v>
      </c>
      <c r="L4181" t="n">
        <v>0</v>
      </c>
      <c r="M4181" t="n">
        <v>0</v>
      </c>
      <c r="N4181" t="n">
        <v>0</v>
      </c>
      <c r="O4181" t="n">
        <v>0</v>
      </c>
      <c r="P4181" t="n">
        <v>0</v>
      </c>
      <c r="Q4181" t="n">
        <v>0</v>
      </c>
      <c r="R4181" s="2" t="inlineStr"/>
    </row>
    <row r="4182" ht="15" customHeight="1">
      <c r="A4182" t="inlineStr">
        <is>
          <t>A 35168-2025</t>
        </is>
      </c>
      <c r="B4182" s="1" t="n">
        <v>45852</v>
      </c>
      <c r="C4182" s="1" t="n">
        <v>45962</v>
      </c>
      <c r="D4182" t="inlineStr">
        <is>
          <t>SKÅNE LÄN</t>
        </is>
      </c>
      <c r="E4182" t="inlineStr">
        <is>
          <t>ÖRKELLJUNGA</t>
        </is>
      </c>
      <c r="G4182" t="n">
        <v>5.2</v>
      </c>
      <c r="H4182" t="n">
        <v>0</v>
      </c>
      <c r="I4182" t="n">
        <v>0</v>
      </c>
      <c r="J4182" t="n">
        <v>0</v>
      </c>
      <c r="K4182" t="n">
        <v>0</v>
      </c>
      <c r="L4182" t="n">
        <v>0</v>
      </c>
      <c r="M4182" t="n">
        <v>0</v>
      </c>
      <c r="N4182" t="n">
        <v>0</v>
      </c>
      <c r="O4182" t="n">
        <v>0</v>
      </c>
      <c r="P4182" t="n">
        <v>0</v>
      </c>
      <c r="Q4182" t="n">
        <v>0</v>
      </c>
      <c r="R4182" s="2" t="inlineStr"/>
    </row>
    <row r="4183" ht="15" customHeight="1">
      <c r="A4183" t="inlineStr">
        <is>
          <t>A 39997-2025</t>
        </is>
      </c>
      <c r="B4183" s="1" t="n">
        <v>45894</v>
      </c>
      <c r="C4183" s="1" t="n">
        <v>45962</v>
      </c>
      <c r="D4183" t="inlineStr">
        <is>
          <t>SKÅNE LÄN</t>
        </is>
      </c>
      <c r="E4183" t="inlineStr">
        <is>
          <t>KRISTIANSTAD</t>
        </is>
      </c>
      <c r="G4183" t="n">
        <v>5.5</v>
      </c>
      <c r="H4183" t="n">
        <v>0</v>
      </c>
      <c r="I4183" t="n">
        <v>0</v>
      </c>
      <c r="J4183" t="n">
        <v>0</v>
      </c>
      <c r="K4183" t="n">
        <v>0</v>
      </c>
      <c r="L4183" t="n">
        <v>0</v>
      </c>
      <c r="M4183" t="n">
        <v>0</v>
      </c>
      <c r="N4183" t="n">
        <v>0</v>
      </c>
      <c r="O4183" t="n">
        <v>0</v>
      </c>
      <c r="P4183" t="n">
        <v>0</v>
      </c>
      <c r="Q4183" t="n">
        <v>0</v>
      </c>
      <c r="R4183" s="2" t="inlineStr"/>
    </row>
    <row r="4184" ht="15" customHeight="1">
      <c r="A4184" t="inlineStr">
        <is>
          <t>A 40005-2025</t>
        </is>
      </c>
      <c r="B4184" s="1" t="n">
        <v>45894</v>
      </c>
      <c r="C4184" s="1" t="n">
        <v>45962</v>
      </c>
      <c r="D4184" t="inlineStr">
        <is>
          <t>SKÅNE LÄN</t>
        </is>
      </c>
      <c r="E4184" t="inlineStr">
        <is>
          <t>KRISTIANSTAD</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60371-2023</t>
        </is>
      </c>
      <c r="B4185" s="1" t="n">
        <v>45259</v>
      </c>
      <c r="C4185" s="1" t="n">
        <v>45962</v>
      </c>
      <c r="D4185" t="inlineStr">
        <is>
          <t>SKÅNE LÄN</t>
        </is>
      </c>
      <c r="E4185" t="inlineStr">
        <is>
          <t>SJÖBO</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18434-2023</t>
        </is>
      </c>
      <c r="B4186" s="1" t="n">
        <v>45042</v>
      </c>
      <c r="C4186" s="1" t="n">
        <v>45962</v>
      </c>
      <c r="D4186" t="inlineStr">
        <is>
          <t>SKÅNE LÄN</t>
        </is>
      </c>
      <c r="E4186" t="inlineStr">
        <is>
          <t>BÅSTAD</t>
        </is>
      </c>
      <c r="G4186" t="n">
        <v>0.7</v>
      </c>
      <c r="H4186" t="n">
        <v>0</v>
      </c>
      <c r="I4186" t="n">
        <v>0</v>
      </c>
      <c r="J4186" t="n">
        <v>0</v>
      </c>
      <c r="K4186" t="n">
        <v>0</v>
      </c>
      <c r="L4186" t="n">
        <v>0</v>
      </c>
      <c r="M4186" t="n">
        <v>0</v>
      </c>
      <c r="N4186" t="n">
        <v>0</v>
      </c>
      <c r="O4186" t="n">
        <v>0</v>
      </c>
      <c r="P4186" t="n">
        <v>0</v>
      </c>
      <c r="Q4186" t="n">
        <v>0</v>
      </c>
      <c r="R4186" s="2" t="inlineStr"/>
    </row>
    <row r="4187" ht="15" customHeight="1">
      <c r="A4187" t="inlineStr">
        <is>
          <t>A 15890-2025</t>
        </is>
      </c>
      <c r="B4187" s="1" t="n">
        <v>45749.41003472222</v>
      </c>
      <c r="C4187" s="1" t="n">
        <v>45962</v>
      </c>
      <c r="D4187" t="inlineStr">
        <is>
          <t>SKÅNE LÄN</t>
        </is>
      </c>
      <c r="E4187" t="inlineStr">
        <is>
          <t>KRISTIANSTAD</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9819-2025</t>
        </is>
      </c>
      <c r="B4188" s="1" t="n">
        <v>45715</v>
      </c>
      <c r="C4188" s="1" t="n">
        <v>45962</v>
      </c>
      <c r="D4188" t="inlineStr">
        <is>
          <t>SKÅNE LÄN</t>
        </is>
      </c>
      <c r="E4188" t="inlineStr">
        <is>
          <t>OSBY</t>
        </is>
      </c>
      <c r="G4188" t="n">
        <v>4.2</v>
      </c>
      <c r="H4188" t="n">
        <v>0</v>
      </c>
      <c r="I4188" t="n">
        <v>0</v>
      </c>
      <c r="J4188" t="n">
        <v>0</v>
      </c>
      <c r="K4188" t="n">
        <v>0</v>
      </c>
      <c r="L4188" t="n">
        <v>0</v>
      </c>
      <c r="M4188" t="n">
        <v>0</v>
      </c>
      <c r="N4188" t="n">
        <v>0</v>
      </c>
      <c r="O4188" t="n">
        <v>0</v>
      </c>
      <c r="P4188" t="n">
        <v>0</v>
      </c>
      <c r="Q4188" t="n">
        <v>0</v>
      </c>
      <c r="R4188" s="2" t="inlineStr"/>
    </row>
    <row r="4189" ht="15" customHeight="1">
      <c r="A4189" t="inlineStr">
        <is>
          <t>A 45494-2024</t>
        </is>
      </c>
      <c r="B4189" s="1" t="n">
        <v>45577.78651620371</v>
      </c>
      <c r="C4189" s="1" t="n">
        <v>45962</v>
      </c>
      <c r="D4189" t="inlineStr">
        <is>
          <t>SKÅNE LÄN</t>
        </is>
      </c>
      <c r="E4189" t="inlineStr">
        <is>
          <t>KRISTIANSTAD</t>
        </is>
      </c>
      <c r="G4189" t="n">
        <v>3.2</v>
      </c>
      <c r="H4189" t="n">
        <v>0</v>
      </c>
      <c r="I4189" t="n">
        <v>0</v>
      </c>
      <c r="J4189" t="n">
        <v>0</v>
      </c>
      <c r="K4189" t="n">
        <v>0</v>
      </c>
      <c r="L4189" t="n">
        <v>0</v>
      </c>
      <c r="M4189" t="n">
        <v>0</v>
      </c>
      <c r="N4189" t="n">
        <v>0</v>
      </c>
      <c r="O4189" t="n">
        <v>0</v>
      </c>
      <c r="P4189" t="n">
        <v>0</v>
      </c>
      <c r="Q4189" t="n">
        <v>0</v>
      </c>
      <c r="R4189" s="2" t="inlineStr"/>
    </row>
    <row r="4190" ht="15" customHeight="1">
      <c r="A4190" t="inlineStr">
        <is>
          <t>A 59246-2024</t>
        </is>
      </c>
      <c r="B4190" s="1" t="n">
        <v>45636</v>
      </c>
      <c r="C4190" s="1" t="n">
        <v>45962</v>
      </c>
      <c r="D4190" t="inlineStr">
        <is>
          <t>SKÅNE LÄN</t>
        </is>
      </c>
      <c r="E4190" t="inlineStr">
        <is>
          <t>HÄSSLEHOLM</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2083-2025</t>
        </is>
      </c>
      <c r="B4191" s="1" t="n">
        <v>45672.58853009259</v>
      </c>
      <c r="C4191" s="1" t="n">
        <v>45962</v>
      </c>
      <c r="D4191" t="inlineStr">
        <is>
          <t>SKÅNE LÄN</t>
        </is>
      </c>
      <c r="E4191" t="inlineStr">
        <is>
          <t>KLIPPAN</t>
        </is>
      </c>
      <c r="G4191" t="n">
        <v>3.4</v>
      </c>
      <c r="H4191" t="n">
        <v>0</v>
      </c>
      <c r="I4191" t="n">
        <v>0</v>
      </c>
      <c r="J4191" t="n">
        <v>0</v>
      </c>
      <c r="K4191" t="n">
        <v>0</v>
      </c>
      <c r="L4191" t="n">
        <v>0</v>
      </c>
      <c r="M4191" t="n">
        <v>0</v>
      </c>
      <c r="N4191" t="n">
        <v>0</v>
      </c>
      <c r="O4191" t="n">
        <v>0</v>
      </c>
      <c r="P4191" t="n">
        <v>0</v>
      </c>
      <c r="Q4191" t="n">
        <v>0</v>
      </c>
      <c r="R4191" s="2" t="inlineStr"/>
    </row>
    <row r="4192" ht="15" customHeight="1">
      <c r="A4192" t="inlineStr">
        <is>
          <t>A 52014-2024</t>
        </is>
      </c>
      <c r="B4192" s="1" t="n">
        <v>45607.78885416667</v>
      </c>
      <c r="C4192" s="1" t="n">
        <v>45962</v>
      </c>
      <c r="D4192" t="inlineStr">
        <is>
          <t>SKÅNE LÄN</t>
        </is>
      </c>
      <c r="E4192" t="inlineStr">
        <is>
          <t>KRISTIANSTAD</t>
        </is>
      </c>
      <c r="F4192" t="inlineStr">
        <is>
          <t>Övriga Aktiebolag</t>
        </is>
      </c>
      <c r="G4192" t="n">
        <v>2.3</v>
      </c>
      <c r="H4192" t="n">
        <v>0</v>
      </c>
      <c r="I4192" t="n">
        <v>0</v>
      </c>
      <c r="J4192" t="n">
        <v>0</v>
      </c>
      <c r="K4192" t="n">
        <v>0</v>
      </c>
      <c r="L4192" t="n">
        <v>0</v>
      </c>
      <c r="M4192" t="n">
        <v>0</v>
      </c>
      <c r="N4192" t="n">
        <v>0</v>
      </c>
      <c r="O4192" t="n">
        <v>0</v>
      </c>
      <c r="P4192" t="n">
        <v>0</v>
      </c>
      <c r="Q4192" t="n">
        <v>0</v>
      </c>
      <c r="R4192" s="2" t="inlineStr"/>
    </row>
    <row r="4193" ht="15" customHeight="1">
      <c r="A4193" t="inlineStr">
        <is>
          <t>A 20800-2023</t>
        </is>
      </c>
      <c r="B4193" s="1" t="n">
        <v>45058.61640046296</v>
      </c>
      <c r="C4193" s="1" t="n">
        <v>45962</v>
      </c>
      <c r="D4193" t="inlineStr">
        <is>
          <t>SKÅNE LÄN</t>
        </is>
      </c>
      <c r="E4193" t="inlineStr">
        <is>
          <t>HÄSSLEHOLM</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7716-2024</t>
        </is>
      </c>
      <c r="B4194" s="1" t="n">
        <v>45349</v>
      </c>
      <c r="C4194" s="1" t="n">
        <v>45962</v>
      </c>
      <c r="D4194" t="inlineStr">
        <is>
          <t>SKÅNE LÄN</t>
        </is>
      </c>
      <c r="E4194" t="inlineStr">
        <is>
          <t>SIMRISHAMN</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4247-2025</t>
        </is>
      </c>
      <c r="B4195" s="1" t="n">
        <v>45685</v>
      </c>
      <c r="C4195" s="1" t="n">
        <v>45962</v>
      </c>
      <c r="D4195" t="inlineStr">
        <is>
          <t>SKÅNE LÄN</t>
        </is>
      </c>
      <c r="E4195" t="inlineStr">
        <is>
          <t>HÖÖR</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4256-2025</t>
        </is>
      </c>
      <c r="B4196" s="1" t="n">
        <v>45685</v>
      </c>
      <c r="C4196" s="1" t="n">
        <v>45962</v>
      </c>
      <c r="D4196" t="inlineStr">
        <is>
          <t>SKÅNE LÄN</t>
        </is>
      </c>
      <c r="E4196" t="inlineStr">
        <is>
          <t>BÅSTAD</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20970-2025</t>
        </is>
      </c>
      <c r="B4197" s="1" t="n">
        <v>45777.45417824074</v>
      </c>
      <c r="C4197" s="1" t="n">
        <v>45962</v>
      </c>
      <c r="D4197" t="inlineStr">
        <is>
          <t>SKÅNE LÄN</t>
        </is>
      </c>
      <c r="E4197" t="inlineStr">
        <is>
          <t>HÄSSLEHOLM</t>
        </is>
      </c>
      <c r="G4197" t="n">
        <v>2.2</v>
      </c>
      <c r="H4197" t="n">
        <v>0</v>
      </c>
      <c r="I4197" t="n">
        <v>0</v>
      </c>
      <c r="J4197" t="n">
        <v>0</v>
      </c>
      <c r="K4197" t="n">
        <v>0</v>
      </c>
      <c r="L4197" t="n">
        <v>0</v>
      </c>
      <c r="M4197" t="n">
        <v>0</v>
      </c>
      <c r="N4197" t="n">
        <v>0</v>
      </c>
      <c r="O4197" t="n">
        <v>0</v>
      </c>
      <c r="P4197" t="n">
        <v>0</v>
      </c>
      <c r="Q4197" t="n">
        <v>0</v>
      </c>
      <c r="R4197" s="2" t="inlineStr"/>
    </row>
    <row r="4198" ht="15" customHeight="1">
      <c r="A4198" t="inlineStr">
        <is>
          <t>A 40145-2024</t>
        </is>
      </c>
      <c r="B4198" s="1" t="n">
        <v>45554</v>
      </c>
      <c r="C4198" s="1" t="n">
        <v>45962</v>
      </c>
      <c r="D4198" t="inlineStr">
        <is>
          <t>SKÅNE LÄN</t>
        </is>
      </c>
      <c r="E4198" t="inlineStr">
        <is>
          <t>KRISTIANSTAD</t>
        </is>
      </c>
      <c r="G4198" t="n">
        <v>7.5</v>
      </c>
      <c r="H4198" t="n">
        <v>0</v>
      </c>
      <c r="I4198" t="n">
        <v>0</v>
      </c>
      <c r="J4198" t="n">
        <v>0</v>
      </c>
      <c r="K4198" t="n">
        <v>0</v>
      </c>
      <c r="L4198" t="n">
        <v>0</v>
      </c>
      <c r="M4198" t="n">
        <v>0</v>
      </c>
      <c r="N4198" t="n">
        <v>0</v>
      </c>
      <c r="O4198" t="n">
        <v>0</v>
      </c>
      <c r="P4198" t="n">
        <v>0</v>
      </c>
      <c r="Q4198" t="n">
        <v>0</v>
      </c>
      <c r="R4198" s="2" t="inlineStr"/>
    </row>
    <row r="4199" ht="15" customHeight="1">
      <c r="A4199" t="inlineStr">
        <is>
          <t>A 11019-2025</t>
        </is>
      </c>
      <c r="B4199" s="1" t="n">
        <v>45723</v>
      </c>
      <c r="C4199" s="1" t="n">
        <v>45962</v>
      </c>
      <c r="D4199" t="inlineStr">
        <is>
          <t>SKÅNE LÄN</t>
        </is>
      </c>
      <c r="E4199" t="inlineStr">
        <is>
          <t>HÄSSLEHOLM</t>
        </is>
      </c>
      <c r="G4199" t="n">
        <v>3.2</v>
      </c>
      <c r="H4199" t="n">
        <v>0</v>
      </c>
      <c r="I4199" t="n">
        <v>0</v>
      </c>
      <c r="J4199" t="n">
        <v>0</v>
      </c>
      <c r="K4199" t="n">
        <v>0</v>
      </c>
      <c r="L4199" t="n">
        <v>0</v>
      </c>
      <c r="M4199" t="n">
        <v>0</v>
      </c>
      <c r="N4199" t="n">
        <v>0</v>
      </c>
      <c r="O4199" t="n">
        <v>0</v>
      </c>
      <c r="P4199" t="n">
        <v>0</v>
      </c>
      <c r="Q4199" t="n">
        <v>0</v>
      </c>
      <c r="R4199" s="2" t="inlineStr"/>
    </row>
    <row r="4200" ht="15" customHeight="1">
      <c r="A4200" t="inlineStr">
        <is>
          <t>A 14008-2023</t>
        </is>
      </c>
      <c r="B4200" s="1" t="n">
        <v>45008.56725694444</v>
      </c>
      <c r="C4200" s="1" t="n">
        <v>45962</v>
      </c>
      <c r="D4200" t="inlineStr">
        <is>
          <t>SKÅNE LÄN</t>
        </is>
      </c>
      <c r="E4200" t="inlineStr">
        <is>
          <t>HÄSSLEHOLM</t>
        </is>
      </c>
      <c r="G4200" t="n">
        <v>3.3</v>
      </c>
      <c r="H4200" t="n">
        <v>0</v>
      </c>
      <c r="I4200" t="n">
        <v>0</v>
      </c>
      <c r="J4200" t="n">
        <v>0</v>
      </c>
      <c r="K4200" t="n">
        <v>0</v>
      </c>
      <c r="L4200" t="n">
        <v>0</v>
      </c>
      <c r="M4200" t="n">
        <v>0</v>
      </c>
      <c r="N4200" t="n">
        <v>0</v>
      </c>
      <c r="O4200" t="n">
        <v>0</v>
      </c>
      <c r="P4200" t="n">
        <v>0</v>
      </c>
      <c r="Q4200" t="n">
        <v>0</v>
      </c>
      <c r="R4200" s="2" t="inlineStr"/>
    </row>
    <row r="4201" ht="15" customHeight="1">
      <c r="A4201" t="inlineStr">
        <is>
          <t>A 35259-2025</t>
        </is>
      </c>
      <c r="B4201" s="1" t="n">
        <v>45853.76912037037</v>
      </c>
      <c r="C4201" s="1" t="n">
        <v>45962</v>
      </c>
      <c r="D4201" t="inlineStr">
        <is>
          <t>SKÅNE LÄN</t>
        </is>
      </c>
      <c r="E4201" t="inlineStr">
        <is>
          <t>HÄSSLEHOLM</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35948-2024</t>
        </is>
      </c>
      <c r="B4202" s="1" t="n">
        <v>45533</v>
      </c>
      <c r="C4202" s="1" t="n">
        <v>45962</v>
      </c>
      <c r="D4202" t="inlineStr">
        <is>
          <t>SKÅNE LÄN</t>
        </is>
      </c>
      <c r="E4202" t="inlineStr">
        <is>
          <t>KRISTIANSTAD</t>
        </is>
      </c>
      <c r="G4202" t="n">
        <v>1.9</v>
      </c>
      <c r="H4202" t="n">
        <v>0</v>
      </c>
      <c r="I4202" t="n">
        <v>0</v>
      </c>
      <c r="J4202" t="n">
        <v>0</v>
      </c>
      <c r="K4202" t="n">
        <v>0</v>
      </c>
      <c r="L4202" t="n">
        <v>0</v>
      </c>
      <c r="M4202" t="n">
        <v>0</v>
      </c>
      <c r="N4202" t="n">
        <v>0</v>
      </c>
      <c r="O4202" t="n">
        <v>0</v>
      </c>
      <c r="P4202" t="n">
        <v>0</v>
      </c>
      <c r="Q4202" t="n">
        <v>0</v>
      </c>
      <c r="R4202" s="2" t="inlineStr"/>
    </row>
    <row r="4203" ht="15" customHeight="1">
      <c r="A4203" t="inlineStr">
        <is>
          <t>A 18285-2025</t>
        </is>
      </c>
      <c r="B4203" s="1" t="n">
        <v>45762</v>
      </c>
      <c r="C4203" s="1" t="n">
        <v>45962</v>
      </c>
      <c r="D4203" t="inlineStr">
        <is>
          <t>SKÅNE LÄN</t>
        </is>
      </c>
      <c r="E4203" t="inlineStr">
        <is>
          <t>ÖRKELLJUNGA</t>
        </is>
      </c>
      <c r="G4203" t="n">
        <v>1.2</v>
      </c>
      <c r="H4203" t="n">
        <v>0</v>
      </c>
      <c r="I4203" t="n">
        <v>0</v>
      </c>
      <c r="J4203" t="n">
        <v>0</v>
      </c>
      <c r="K4203" t="n">
        <v>0</v>
      </c>
      <c r="L4203" t="n">
        <v>0</v>
      </c>
      <c r="M4203" t="n">
        <v>0</v>
      </c>
      <c r="N4203" t="n">
        <v>0</v>
      </c>
      <c r="O4203" t="n">
        <v>0</v>
      </c>
      <c r="P4203" t="n">
        <v>0</v>
      </c>
      <c r="Q4203" t="n">
        <v>0</v>
      </c>
      <c r="R4203" s="2" t="inlineStr"/>
    </row>
    <row r="4204" ht="15" customHeight="1">
      <c r="A4204" t="inlineStr">
        <is>
          <t>A 35364-2025</t>
        </is>
      </c>
      <c r="B4204" s="1" t="n">
        <v>45854.68505787037</v>
      </c>
      <c r="C4204" s="1" t="n">
        <v>45962</v>
      </c>
      <c r="D4204" t="inlineStr">
        <is>
          <t>SKÅNE LÄN</t>
        </is>
      </c>
      <c r="E4204" t="inlineStr">
        <is>
          <t>KRISTIANSTAD</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26590-2025</t>
        </is>
      </c>
      <c r="B4205" s="1" t="n">
        <v>45807</v>
      </c>
      <c r="C4205" s="1" t="n">
        <v>45962</v>
      </c>
      <c r="D4205" t="inlineStr">
        <is>
          <t>SKÅNE LÄN</t>
        </is>
      </c>
      <c r="E4205" t="inlineStr">
        <is>
          <t>HÖÖR</t>
        </is>
      </c>
      <c r="G4205" t="n">
        <v>3.3</v>
      </c>
      <c r="H4205" t="n">
        <v>0</v>
      </c>
      <c r="I4205" t="n">
        <v>0</v>
      </c>
      <c r="J4205" t="n">
        <v>0</v>
      </c>
      <c r="K4205" t="n">
        <v>0</v>
      </c>
      <c r="L4205" t="n">
        <v>0</v>
      </c>
      <c r="M4205" t="n">
        <v>0</v>
      </c>
      <c r="N4205" t="n">
        <v>0</v>
      </c>
      <c r="O4205" t="n">
        <v>0</v>
      </c>
      <c r="P4205" t="n">
        <v>0</v>
      </c>
      <c r="Q4205" t="n">
        <v>0</v>
      </c>
      <c r="R4205" s="2" t="inlineStr"/>
    </row>
    <row r="4206" ht="15" customHeight="1">
      <c r="A4206" t="inlineStr">
        <is>
          <t>A 4605-2025</t>
        </is>
      </c>
      <c r="B4206" s="1" t="n">
        <v>45687.56328703704</v>
      </c>
      <c r="C4206" s="1" t="n">
        <v>45962</v>
      </c>
      <c r="D4206" t="inlineStr">
        <is>
          <t>SKÅNE LÄN</t>
        </is>
      </c>
      <c r="E4206" t="inlineStr">
        <is>
          <t>ÄNGELHOLM</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61682-2023</t>
        </is>
      </c>
      <c r="B4207" s="1" t="n">
        <v>45264</v>
      </c>
      <c r="C4207" s="1" t="n">
        <v>45962</v>
      </c>
      <c r="D4207" t="inlineStr">
        <is>
          <t>SKÅNE LÄN</t>
        </is>
      </c>
      <c r="E4207" t="inlineStr">
        <is>
          <t>KLIPPAN</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17413-2025</t>
        </is>
      </c>
      <c r="B4208" s="1" t="n">
        <v>45757.37480324074</v>
      </c>
      <c r="C4208" s="1" t="n">
        <v>45962</v>
      </c>
      <c r="D4208" t="inlineStr">
        <is>
          <t>SKÅNE LÄN</t>
        </is>
      </c>
      <c r="E4208" t="inlineStr">
        <is>
          <t>HÄSSLEHOLM</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35392-2025</t>
        </is>
      </c>
      <c r="B4209" s="1" t="n">
        <v>45854</v>
      </c>
      <c r="C4209" s="1" t="n">
        <v>45962</v>
      </c>
      <c r="D4209" t="inlineStr">
        <is>
          <t>SKÅNE LÄN</t>
        </is>
      </c>
      <c r="E4209" t="inlineStr">
        <is>
          <t>BROMÖLLA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35397-2025</t>
        </is>
      </c>
      <c r="B4210" s="1" t="n">
        <v>45854</v>
      </c>
      <c r="C4210" s="1" t="n">
        <v>45962</v>
      </c>
      <c r="D4210" t="inlineStr">
        <is>
          <t>SKÅNE LÄN</t>
        </is>
      </c>
      <c r="E4210" t="inlineStr">
        <is>
          <t>BROMÖLLA</t>
        </is>
      </c>
      <c r="G4210" t="n">
        <v>8.4</v>
      </c>
      <c r="H4210" t="n">
        <v>0</v>
      </c>
      <c r="I4210" t="n">
        <v>0</v>
      </c>
      <c r="J4210" t="n">
        <v>0</v>
      </c>
      <c r="K4210" t="n">
        <v>0</v>
      </c>
      <c r="L4210" t="n">
        <v>0</v>
      </c>
      <c r="M4210" t="n">
        <v>0</v>
      </c>
      <c r="N4210" t="n">
        <v>0</v>
      </c>
      <c r="O4210" t="n">
        <v>0</v>
      </c>
      <c r="P4210" t="n">
        <v>0</v>
      </c>
      <c r="Q4210" t="n">
        <v>0</v>
      </c>
      <c r="R4210" s="2" t="inlineStr"/>
    </row>
    <row r="4211" ht="15" customHeight="1">
      <c r="A4211" t="inlineStr">
        <is>
          <t>A 35454-2025</t>
        </is>
      </c>
      <c r="B4211" s="1" t="n">
        <v>45855</v>
      </c>
      <c r="C4211" s="1" t="n">
        <v>45962</v>
      </c>
      <c r="D4211" t="inlineStr">
        <is>
          <t>SKÅNE LÄN</t>
        </is>
      </c>
      <c r="E4211" t="inlineStr">
        <is>
          <t>SJÖBO</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11676-2023</t>
        </is>
      </c>
      <c r="B4212" s="1" t="n">
        <v>44992</v>
      </c>
      <c r="C4212" s="1" t="n">
        <v>45962</v>
      </c>
      <c r="D4212" t="inlineStr">
        <is>
          <t>SKÅNE LÄN</t>
        </is>
      </c>
      <c r="E4212" t="inlineStr">
        <is>
          <t>KLIPPAN</t>
        </is>
      </c>
      <c r="F4212" t="inlineStr">
        <is>
          <t>Övriga Aktiebolag</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11681-2023</t>
        </is>
      </c>
      <c r="B4213" s="1" t="n">
        <v>44992</v>
      </c>
      <c r="C4213" s="1" t="n">
        <v>45962</v>
      </c>
      <c r="D4213" t="inlineStr">
        <is>
          <t>SKÅNE LÄN</t>
        </is>
      </c>
      <c r="E4213" t="inlineStr">
        <is>
          <t>HÄSSLEHOLM</t>
        </is>
      </c>
      <c r="F4213" t="inlineStr">
        <is>
          <t>Övriga Aktiebolag</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34780-2025</t>
        </is>
      </c>
      <c r="B4214" s="1" t="n">
        <v>45848</v>
      </c>
      <c r="C4214" s="1" t="n">
        <v>45962</v>
      </c>
      <c r="D4214" t="inlineStr">
        <is>
          <t>SKÅNE LÄN</t>
        </is>
      </c>
      <c r="E4214" t="inlineStr">
        <is>
          <t>SJÖBO</t>
        </is>
      </c>
      <c r="G4214" t="n">
        <v>6.1</v>
      </c>
      <c r="H4214" t="n">
        <v>0</v>
      </c>
      <c r="I4214" t="n">
        <v>0</v>
      </c>
      <c r="J4214" t="n">
        <v>0</v>
      </c>
      <c r="K4214" t="n">
        <v>0</v>
      </c>
      <c r="L4214" t="n">
        <v>0</v>
      </c>
      <c r="M4214" t="n">
        <v>0</v>
      </c>
      <c r="N4214" t="n">
        <v>0</v>
      </c>
      <c r="O4214" t="n">
        <v>0</v>
      </c>
      <c r="P4214" t="n">
        <v>0</v>
      </c>
      <c r="Q4214" t="n">
        <v>0</v>
      </c>
      <c r="R4214" s="2" t="inlineStr"/>
    </row>
    <row r="4215" ht="15" customHeight="1">
      <c r="A4215" t="inlineStr">
        <is>
          <t>A 33927-2021</t>
        </is>
      </c>
      <c r="B4215" s="1" t="n">
        <v>44378</v>
      </c>
      <c r="C4215" s="1" t="n">
        <v>45962</v>
      </c>
      <c r="D4215" t="inlineStr">
        <is>
          <t>SKÅNE LÄN</t>
        </is>
      </c>
      <c r="E4215" t="inlineStr">
        <is>
          <t>HÄSSLEHOLM</t>
        </is>
      </c>
      <c r="G4215" t="n">
        <v>16.7</v>
      </c>
      <c r="H4215" t="n">
        <v>0</v>
      </c>
      <c r="I4215" t="n">
        <v>0</v>
      </c>
      <c r="J4215" t="n">
        <v>0</v>
      </c>
      <c r="K4215" t="n">
        <v>0</v>
      </c>
      <c r="L4215" t="n">
        <v>0</v>
      </c>
      <c r="M4215" t="n">
        <v>0</v>
      </c>
      <c r="N4215" t="n">
        <v>0</v>
      </c>
      <c r="O4215" t="n">
        <v>0</v>
      </c>
      <c r="P4215" t="n">
        <v>0</v>
      </c>
      <c r="Q4215" t="n">
        <v>0</v>
      </c>
      <c r="R4215" s="2" t="inlineStr"/>
    </row>
    <row r="4216" ht="15" customHeight="1">
      <c r="A4216" t="inlineStr">
        <is>
          <t>A 51844-2023</t>
        </is>
      </c>
      <c r="B4216" s="1" t="n">
        <v>45223</v>
      </c>
      <c r="C4216" s="1" t="n">
        <v>45962</v>
      </c>
      <c r="D4216" t="inlineStr">
        <is>
          <t>SKÅNE LÄN</t>
        </is>
      </c>
      <c r="E4216" t="inlineStr">
        <is>
          <t>KLIPPAN</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62142-2023</t>
        </is>
      </c>
      <c r="B4217" s="1" t="n">
        <v>45267</v>
      </c>
      <c r="C4217" s="1" t="n">
        <v>45962</v>
      </c>
      <c r="D4217" t="inlineStr">
        <is>
          <t>SKÅNE LÄN</t>
        </is>
      </c>
      <c r="E4217" t="inlineStr">
        <is>
          <t>ÖSTRA GÖINGE</t>
        </is>
      </c>
      <c r="G4217" t="n">
        <v>8.1</v>
      </c>
      <c r="H4217" t="n">
        <v>0</v>
      </c>
      <c r="I4217" t="n">
        <v>0</v>
      </c>
      <c r="J4217" t="n">
        <v>0</v>
      </c>
      <c r="K4217" t="n">
        <v>0</v>
      </c>
      <c r="L4217" t="n">
        <v>0</v>
      </c>
      <c r="M4217" t="n">
        <v>0</v>
      </c>
      <c r="N4217" t="n">
        <v>0</v>
      </c>
      <c r="O4217" t="n">
        <v>0</v>
      </c>
      <c r="P4217" t="n">
        <v>0</v>
      </c>
      <c r="Q4217" t="n">
        <v>0</v>
      </c>
      <c r="R4217" s="2" t="inlineStr"/>
    </row>
    <row r="4218" ht="15" customHeight="1">
      <c r="A4218" t="inlineStr">
        <is>
          <t>A 27932-2023</t>
        </is>
      </c>
      <c r="B4218" s="1" t="n">
        <v>45098</v>
      </c>
      <c r="C4218" s="1" t="n">
        <v>45962</v>
      </c>
      <c r="D4218" t="inlineStr">
        <is>
          <t>SKÅNE LÄN</t>
        </is>
      </c>
      <c r="E4218" t="inlineStr">
        <is>
          <t>KRISTIANSTAD</t>
        </is>
      </c>
      <c r="G4218" t="n">
        <v>7.2</v>
      </c>
      <c r="H4218" t="n">
        <v>0</v>
      </c>
      <c r="I4218" t="n">
        <v>0</v>
      </c>
      <c r="J4218" t="n">
        <v>0</v>
      </c>
      <c r="K4218" t="n">
        <v>0</v>
      </c>
      <c r="L4218" t="n">
        <v>0</v>
      </c>
      <c r="M4218" t="n">
        <v>0</v>
      </c>
      <c r="N4218" t="n">
        <v>0</v>
      </c>
      <c r="O4218" t="n">
        <v>0</v>
      </c>
      <c r="P4218" t="n">
        <v>0</v>
      </c>
      <c r="Q4218" t="n">
        <v>0</v>
      </c>
      <c r="R4218" s="2" t="inlineStr"/>
    </row>
    <row r="4219" ht="15" customHeight="1">
      <c r="A4219" t="inlineStr">
        <is>
          <t>A 7305-2025</t>
        </is>
      </c>
      <c r="B4219" s="1" t="n">
        <v>45702</v>
      </c>
      <c r="C4219" s="1" t="n">
        <v>45962</v>
      </c>
      <c r="D4219" t="inlineStr">
        <is>
          <t>SKÅNE LÄN</t>
        </is>
      </c>
      <c r="E4219" t="inlineStr">
        <is>
          <t>HÄSSLEHOLM</t>
        </is>
      </c>
      <c r="F4219" t="inlineStr">
        <is>
          <t>Övriga Aktiebolag</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315-2022</t>
        </is>
      </c>
      <c r="B4220" s="1" t="n">
        <v>44565.55630787037</v>
      </c>
      <c r="C4220" s="1" t="n">
        <v>45962</v>
      </c>
      <c r="D4220" t="inlineStr">
        <is>
          <t>SKÅNE LÄN</t>
        </is>
      </c>
      <c r="E4220" t="inlineStr">
        <is>
          <t>HÄSSLEHOLM</t>
        </is>
      </c>
      <c r="G4220" t="n">
        <v>0.4</v>
      </c>
      <c r="H4220" t="n">
        <v>0</v>
      </c>
      <c r="I4220" t="n">
        <v>0</v>
      </c>
      <c r="J4220" t="n">
        <v>0</v>
      </c>
      <c r="K4220" t="n">
        <v>0</v>
      </c>
      <c r="L4220" t="n">
        <v>0</v>
      </c>
      <c r="M4220" t="n">
        <v>0</v>
      </c>
      <c r="N4220" t="n">
        <v>0</v>
      </c>
      <c r="O4220" t="n">
        <v>0</v>
      </c>
      <c r="P4220" t="n">
        <v>0</v>
      </c>
      <c r="Q4220" t="n">
        <v>0</v>
      </c>
      <c r="R4220" s="2" t="inlineStr"/>
    </row>
    <row r="4221" ht="15" customHeight="1">
      <c r="A4221" t="inlineStr">
        <is>
          <t>A 50196-2022</t>
        </is>
      </c>
      <c r="B4221" s="1" t="n">
        <v>44860</v>
      </c>
      <c r="C4221" s="1" t="n">
        <v>45962</v>
      </c>
      <c r="D4221" t="inlineStr">
        <is>
          <t>SKÅNE LÄN</t>
        </is>
      </c>
      <c r="E4221" t="inlineStr">
        <is>
          <t>HÖÖR</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30951-2023</t>
        </is>
      </c>
      <c r="B4222" s="1" t="n">
        <v>45113</v>
      </c>
      <c r="C4222" s="1" t="n">
        <v>45962</v>
      </c>
      <c r="D4222" t="inlineStr">
        <is>
          <t>SKÅNE LÄN</t>
        </is>
      </c>
      <c r="E4222" t="inlineStr">
        <is>
          <t>HÖÖR</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42372-2024</t>
        </is>
      </c>
      <c r="B4223" s="1" t="n">
        <v>45564.5127199074</v>
      </c>
      <c r="C4223" s="1" t="n">
        <v>45962</v>
      </c>
      <c r="D4223" t="inlineStr">
        <is>
          <t>SKÅNE LÄN</t>
        </is>
      </c>
      <c r="E4223" t="inlineStr">
        <is>
          <t>HÄSSLEHOLM</t>
        </is>
      </c>
      <c r="G4223" t="n">
        <v>0.5</v>
      </c>
      <c r="H4223" t="n">
        <v>0</v>
      </c>
      <c r="I4223" t="n">
        <v>0</v>
      </c>
      <c r="J4223" t="n">
        <v>0</v>
      </c>
      <c r="K4223" t="n">
        <v>0</v>
      </c>
      <c r="L4223" t="n">
        <v>0</v>
      </c>
      <c r="M4223" t="n">
        <v>0</v>
      </c>
      <c r="N4223" t="n">
        <v>0</v>
      </c>
      <c r="O4223" t="n">
        <v>0</v>
      </c>
      <c r="P4223" t="n">
        <v>0</v>
      </c>
      <c r="Q4223" t="n">
        <v>0</v>
      </c>
      <c r="R4223" s="2" t="inlineStr"/>
    </row>
    <row r="4224" ht="15" customHeight="1">
      <c r="A4224" t="inlineStr">
        <is>
          <t>A 35536-2025</t>
        </is>
      </c>
      <c r="B4224" s="1" t="n">
        <v>45856</v>
      </c>
      <c r="C4224" s="1" t="n">
        <v>45962</v>
      </c>
      <c r="D4224" t="inlineStr">
        <is>
          <t>SKÅNE LÄN</t>
        </is>
      </c>
      <c r="E4224" t="inlineStr">
        <is>
          <t>LANDSKRONA</t>
        </is>
      </c>
      <c r="G4224" t="n">
        <v>4</v>
      </c>
      <c r="H4224" t="n">
        <v>0</v>
      </c>
      <c r="I4224" t="n">
        <v>0</v>
      </c>
      <c r="J4224" t="n">
        <v>0</v>
      </c>
      <c r="K4224" t="n">
        <v>0</v>
      </c>
      <c r="L4224" t="n">
        <v>0</v>
      </c>
      <c r="M4224" t="n">
        <v>0</v>
      </c>
      <c r="N4224" t="n">
        <v>0</v>
      </c>
      <c r="O4224" t="n">
        <v>0</v>
      </c>
      <c r="P4224" t="n">
        <v>0</v>
      </c>
      <c r="Q4224" t="n">
        <v>0</v>
      </c>
      <c r="R4224" s="2" t="inlineStr"/>
    </row>
    <row r="4225" ht="15" customHeight="1">
      <c r="A4225" t="inlineStr">
        <is>
          <t>A 26591-2025</t>
        </is>
      </c>
      <c r="B4225" s="1" t="n">
        <v>45807</v>
      </c>
      <c r="C4225" s="1" t="n">
        <v>45962</v>
      </c>
      <c r="D4225" t="inlineStr">
        <is>
          <t>SKÅNE LÄN</t>
        </is>
      </c>
      <c r="E4225" t="inlineStr">
        <is>
          <t>HÖÖR</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3407-2024</t>
        </is>
      </c>
      <c r="B4226" s="1" t="n">
        <v>45318</v>
      </c>
      <c r="C4226" s="1" t="n">
        <v>45962</v>
      </c>
      <c r="D4226" t="inlineStr">
        <is>
          <t>SKÅNE LÄN</t>
        </is>
      </c>
      <c r="E4226" t="inlineStr">
        <is>
          <t>HÖÖR</t>
        </is>
      </c>
      <c r="G4226" t="n">
        <v>6.5</v>
      </c>
      <c r="H4226" t="n">
        <v>0</v>
      </c>
      <c r="I4226" t="n">
        <v>0</v>
      </c>
      <c r="J4226" t="n">
        <v>0</v>
      </c>
      <c r="K4226" t="n">
        <v>0</v>
      </c>
      <c r="L4226" t="n">
        <v>0</v>
      </c>
      <c r="M4226" t="n">
        <v>0</v>
      </c>
      <c r="N4226" t="n">
        <v>0</v>
      </c>
      <c r="O4226" t="n">
        <v>0</v>
      </c>
      <c r="P4226" t="n">
        <v>0</v>
      </c>
      <c r="Q4226" t="n">
        <v>0</v>
      </c>
      <c r="R4226" s="2" t="inlineStr"/>
    </row>
    <row r="4227" ht="15" customHeight="1">
      <c r="A4227" t="inlineStr">
        <is>
          <t>A 35490-2025</t>
        </is>
      </c>
      <c r="B4227" s="1" t="n">
        <v>45855.79797453704</v>
      </c>
      <c r="C4227" s="1" t="n">
        <v>45962</v>
      </c>
      <c r="D4227" t="inlineStr">
        <is>
          <t>SKÅNE LÄN</t>
        </is>
      </c>
      <c r="E4227" t="inlineStr">
        <is>
          <t>ÖRKELLJUNGA</t>
        </is>
      </c>
      <c r="G4227" t="n">
        <v>3.1</v>
      </c>
      <c r="H4227" t="n">
        <v>0</v>
      </c>
      <c r="I4227" t="n">
        <v>0</v>
      </c>
      <c r="J4227" t="n">
        <v>0</v>
      </c>
      <c r="K4227" t="n">
        <v>0</v>
      </c>
      <c r="L4227" t="n">
        <v>0</v>
      </c>
      <c r="M4227" t="n">
        <v>0</v>
      </c>
      <c r="N4227" t="n">
        <v>0</v>
      </c>
      <c r="O4227" t="n">
        <v>0</v>
      </c>
      <c r="P4227" t="n">
        <v>0</v>
      </c>
      <c r="Q4227" t="n">
        <v>0</v>
      </c>
      <c r="R4227" s="2" t="inlineStr"/>
    </row>
    <row r="4228" ht="15" customHeight="1">
      <c r="A4228" t="inlineStr">
        <is>
          <t>A 47315-2023</t>
        </is>
      </c>
      <c r="B4228" s="1" t="n">
        <v>45196</v>
      </c>
      <c r="C4228" s="1" t="n">
        <v>45962</v>
      </c>
      <c r="D4228" t="inlineStr">
        <is>
          <t>SKÅNE LÄN</t>
        </is>
      </c>
      <c r="E4228" t="inlineStr">
        <is>
          <t>BROMÖLLA</t>
        </is>
      </c>
      <c r="G4228" t="n">
        <v>2.8</v>
      </c>
      <c r="H4228" t="n">
        <v>0</v>
      </c>
      <c r="I4228" t="n">
        <v>0</v>
      </c>
      <c r="J4228" t="n">
        <v>0</v>
      </c>
      <c r="K4228" t="n">
        <v>0</v>
      </c>
      <c r="L4228" t="n">
        <v>0</v>
      </c>
      <c r="M4228" t="n">
        <v>0</v>
      </c>
      <c r="N4228" t="n">
        <v>0</v>
      </c>
      <c r="O4228" t="n">
        <v>0</v>
      </c>
      <c r="P4228" t="n">
        <v>0</v>
      </c>
      <c r="Q4228" t="n">
        <v>0</v>
      </c>
      <c r="R4228" s="2" t="inlineStr"/>
    </row>
    <row r="4229" ht="15" customHeight="1">
      <c r="A4229" t="inlineStr">
        <is>
          <t>A 5116-2023</t>
        </is>
      </c>
      <c r="B4229" s="1" t="n">
        <v>44958.67546296296</v>
      </c>
      <c r="C4229" s="1" t="n">
        <v>45962</v>
      </c>
      <c r="D4229" t="inlineStr">
        <is>
          <t>SKÅNE LÄN</t>
        </is>
      </c>
      <c r="E4229" t="inlineStr">
        <is>
          <t>HÄSSLEHOLM</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40017-2023</t>
        </is>
      </c>
      <c r="B4230" s="1" t="n">
        <v>45168</v>
      </c>
      <c r="C4230" s="1" t="n">
        <v>45962</v>
      </c>
      <c r="D4230" t="inlineStr">
        <is>
          <t>SKÅNE LÄN</t>
        </is>
      </c>
      <c r="E4230" t="inlineStr">
        <is>
          <t>ÖRKELLJUNGA</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23287-2022</t>
        </is>
      </c>
      <c r="B4231" s="1" t="n">
        <v>44720</v>
      </c>
      <c r="C4231" s="1" t="n">
        <v>45962</v>
      </c>
      <c r="D4231" t="inlineStr">
        <is>
          <t>SKÅNE LÄN</t>
        </is>
      </c>
      <c r="E4231" t="inlineStr">
        <is>
          <t>SIMRISHAMN</t>
        </is>
      </c>
      <c r="G4231" t="n">
        <v>3.5</v>
      </c>
      <c r="H4231" t="n">
        <v>0</v>
      </c>
      <c r="I4231" t="n">
        <v>0</v>
      </c>
      <c r="J4231" t="n">
        <v>0</v>
      </c>
      <c r="K4231" t="n">
        <v>0</v>
      </c>
      <c r="L4231" t="n">
        <v>0</v>
      </c>
      <c r="M4231" t="n">
        <v>0</v>
      </c>
      <c r="N4231" t="n">
        <v>0</v>
      </c>
      <c r="O4231" t="n">
        <v>0</v>
      </c>
      <c r="P4231" t="n">
        <v>0</v>
      </c>
      <c r="Q4231" t="n">
        <v>0</v>
      </c>
      <c r="R4231" s="2" t="inlineStr"/>
    </row>
    <row r="4232" ht="15" customHeight="1">
      <c r="A4232" t="inlineStr">
        <is>
          <t>A 41680-2024</t>
        </is>
      </c>
      <c r="B4232" s="1" t="n">
        <v>45560</v>
      </c>
      <c r="C4232" s="1" t="n">
        <v>45962</v>
      </c>
      <c r="D4232" t="inlineStr">
        <is>
          <t>SKÅNE LÄN</t>
        </is>
      </c>
      <c r="E4232" t="inlineStr">
        <is>
          <t>HÄSSLEHOLM</t>
        </is>
      </c>
      <c r="G4232" t="n">
        <v>0.2</v>
      </c>
      <c r="H4232" t="n">
        <v>0</v>
      </c>
      <c r="I4232" t="n">
        <v>0</v>
      </c>
      <c r="J4232" t="n">
        <v>0</v>
      </c>
      <c r="K4232" t="n">
        <v>0</v>
      </c>
      <c r="L4232" t="n">
        <v>0</v>
      </c>
      <c r="M4232" t="n">
        <v>0</v>
      </c>
      <c r="N4232" t="n">
        <v>0</v>
      </c>
      <c r="O4232" t="n">
        <v>0</v>
      </c>
      <c r="P4232" t="n">
        <v>0</v>
      </c>
      <c r="Q4232" t="n">
        <v>0</v>
      </c>
      <c r="R4232" s="2" t="inlineStr"/>
    </row>
    <row r="4233" ht="15" customHeight="1">
      <c r="A4233" t="inlineStr">
        <is>
          <t>A 25043-2021</t>
        </is>
      </c>
      <c r="B4233" s="1" t="n">
        <v>44341.59855324074</v>
      </c>
      <c r="C4233" s="1" t="n">
        <v>45962</v>
      </c>
      <c r="D4233" t="inlineStr">
        <is>
          <t>SKÅNE LÄN</t>
        </is>
      </c>
      <c r="E4233" t="inlineStr">
        <is>
          <t>KRISTIANSTAD</t>
        </is>
      </c>
      <c r="F4233" t="inlineStr">
        <is>
          <t>Övriga Aktiebolag</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34279-2023</t>
        </is>
      </c>
      <c r="B4234" s="1" t="n">
        <v>45138</v>
      </c>
      <c r="C4234" s="1" t="n">
        <v>45962</v>
      </c>
      <c r="D4234" t="inlineStr">
        <is>
          <t>SKÅNE LÄN</t>
        </is>
      </c>
      <c r="E4234" t="inlineStr">
        <is>
          <t>ÖRKELLJUNGA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6769-2021</t>
        </is>
      </c>
      <c r="B4235" s="1" t="n">
        <v>44236</v>
      </c>
      <c r="C4235" s="1" t="n">
        <v>45962</v>
      </c>
      <c r="D4235" t="inlineStr">
        <is>
          <t>SKÅNE LÄN</t>
        </is>
      </c>
      <c r="E4235" t="inlineStr">
        <is>
          <t>HÖÖR</t>
        </is>
      </c>
      <c r="G4235" t="n">
        <v>3.5</v>
      </c>
      <c r="H4235" t="n">
        <v>0</v>
      </c>
      <c r="I4235" t="n">
        <v>0</v>
      </c>
      <c r="J4235" t="n">
        <v>0</v>
      </c>
      <c r="K4235" t="n">
        <v>0</v>
      </c>
      <c r="L4235" t="n">
        <v>0</v>
      </c>
      <c r="M4235" t="n">
        <v>0</v>
      </c>
      <c r="N4235" t="n">
        <v>0</v>
      </c>
      <c r="O4235" t="n">
        <v>0</v>
      </c>
      <c r="P4235" t="n">
        <v>0</v>
      </c>
      <c r="Q4235" t="n">
        <v>0</v>
      </c>
      <c r="R4235" s="2" t="inlineStr"/>
    </row>
    <row r="4236" ht="15" customHeight="1">
      <c r="A4236" t="inlineStr">
        <is>
          <t>A 36523-2022</t>
        </is>
      </c>
      <c r="B4236" s="1" t="n">
        <v>44804</v>
      </c>
      <c r="C4236" s="1" t="n">
        <v>45962</v>
      </c>
      <c r="D4236" t="inlineStr">
        <is>
          <t>SKÅNE LÄN</t>
        </is>
      </c>
      <c r="E4236" t="inlineStr">
        <is>
          <t>VELLINGE</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52064-2024</t>
        </is>
      </c>
      <c r="B4237" s="1" t="n">
        <v>45608.36141203704</v>
      </c>
      <c r="C4237" s="1" t="n">
        <v>45962</v>
      </c>
      <c r="D4237" t="inlineStr">
        <is>
          <t>SKÅNE LÄN</t>
        </is>
      </c>
      <c r="E4237" t="inlineStr">
        <is>
          <t>KRISTIANSTAD</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35581-2025</t>
        </is>
      </c>
      <c r="B4238" s="1" t="n">
        <v>45856.71502314815</v>
      </c>
      <c r="C4238" s="1" t="n">
        <v>45962</v>
      </c>
      <c r="D4238" t="inlineStr">
        <is>
          <t>SKÅNE LÄN</t>
        </is>
      </c>
      <c r="E4238" t="inlineStr">
        <is>
          <t>KRISTIANSTAD</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33985-2021</t>
        </is>
      </c>
      <c r="B4239" s="1" t="n">
        <v>44378</v>
      </c>
      <c r="C4239" s="1" t="n">
        <v>45962</v>
      </c>
      <c r="D4239" t="inlineStr">
        <is>
          <t>SKÅNE LÄN</t>
        </is>
      </c>
      <c r="E4239" t="inlineStr">
        <is>
          <t>LUND</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6154-2021</t>
        </is>
      </c>
      <c r="B4240" s="1" t="n">
        <v>44232</v>
      </c>
      <c r="C4240" s="1" t="n">
        <v>45962</v>
      </c>
      <c r="D4240" t="inlineStr">
        <is>
          <t>SKÅNE LÄN</t>
        </is>
      </c>
      <c r="E4240" t="inlineStr">
        <is>
          <t>ÖRKELLJUNGA</t>
        </is>
      </c>
      <c r="G4240" t="n">
        <v>10.4</v>
      </c>
      <c r="H4240" t="n">
        <v>0</v>
      </c>
      <c r="I4240" t="n">
        <v>0</v>
      </c>
      <c r="J4240" t="n">
        <v>0</v>
      </c>
      <c r="K4240" t="n">
        <v>0</v>
      </c>
      <c r="L4240" t="n">
        <v>0</v>
      </c>
      <c r="M4240" t="n">
        <v>0</v>
      </c>
      <c r="N4240" t="n">
        <v>0</v>
      </c>
      <c r="O4240" t="n">
        <v>0</v>
      </c>
      <c r="P4240" t="n">
        <v>0</v>
      </c>
      <c r="Q4240" t="n">
        <v>0</v>
      </c>
      <c r="R4240" s="2" t="inlineStr"/>
    </row>
    <row r="4241" ht="15" customHeight="1">
      <c r="A4241" t="inlineStr">
        <is>
          <t>A 6180-2021</t>
        </is>
      </c>
      <c r="B4241" s="1" t="n">
        <v>44232</v>
      </c>
      <c r="C4241" s="1" t="n">
        <v>45962</v>
      </c>
      <c r="D4241" t="inlineStr">
        <is>
          <t>SKÅNE LÄN</t>
        </is>
      </c>
      <c r="E4241" t="inlineStr">
        <is>
          <t>HÄSSLEHOLM</t>
        </is>
      </c>
      <c r="F4241" t="inlineStr">
        <is>
          <t>Kyrkan</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14683-2025</t>
        </is>
      </c>
      <c r="B4242" s="1" t="n">
        <v>45742.57288194444</v>
      </c>
      <c r="C4242" s="1" t="n">
        <v>45962</v>
      </c>
      <c r="D4242" t="inlineStr">
        <is>
          <t>SKÅNE LÄN</t>
        </is>
      </c>
      <c r="E4242" t="inlineStr">
        <is>
          <t>ÖSTRA GÖINGE</t>
        </is>
      </c>
      <c r="G4242" t="n">
        <v>2.8</v>
      </c>
      <c r="H4242" t="n">
        <v>0</v>
      </c>
      <c r="I4242" t="n">
        <v>0</v>
      </c>
      <c r="J4242" t="n">
        <v>0</v>
      </c>
      <c r="K4242" t="n">
        <v>0</v>
      </c>
      <c r="L4242" t="n">
        <v>0</v>
      </c>
      <c r="M4242" t="n">
        <v>0</v>
      </c>
      <c r="N4242" t="n">
        <v>0</v>
      </c>
      <c r="O4242" t="n">
        <v>0</v>
      </c>
      <c r="P4242" t="n">
        <v>0</v>
      </c>
      <c r="Q4242" t="n">
        <v>0</v>
      </c>
      <c r="R4242" s="2" t="inlineStr"/>
    </row>
    <row r="4243" ht="15" customHeight="1">
      <c r="A4243" t="inlineStr">
        <is>
          <t>A 14684-2025</t>
        </is>
      </c>
      <c r="B4243" s="1" t="n">
        <v>45742.57572916667</v>
      </c>
      <c r="C4243" s="1" t="n">
        <v>45962</v>
      </c>
      <c r="D4243" t="inlineStr">
        <is>
          <t>SKÅNE LÄN</t>
        </is>
      </c>
      <c r="E4243" t="inlineStr">
        <is>
          <t>ÖSTRA GÖINGE</t>
        </is>
      </c>
      <c r="G4243" t="n">
        <v>2.2</v>
      </c>
      <c r="H4243" t="n">
        <v>0</v>
      </c>
      <c r="I4243" t="n">
        <v>0</v>
      </c>
      <c r="J4243" t="n">
        <v>0</v>
      </c>
      <c r="K4243" t="n">
        <v>0</v>
      </c>
      <c r="L4243" t="n">
        <v>0</v>
      </c>
      <c r="M4243" t="n">
        <v>0</v>
      </c>
      <c r="N4243" t="n">
        <v>0</v>
      </c>
      <c r="O4243" t="n">
        <v>0</v>
      </c>
      <c r="P4243" t="n">
        <v>0</v>
      </c>
      <c r="Q4243" t="n">
        <v>0</v>
      </c>
      <c r="R4243" s="2" t="inlineStr"/>
    </row>
    <row r="4244" ht="15" customHeight="1">
      <c r="A4244" t="inlineStr">
        <is>
          <t>A 41609-2025</t>
        </is>
      </c>
      <c r="B4244" s="1" t="n">
        <v>45901</v>
      </c>
      <c r="C4244" s="1" t="n">
        <v>45962</v>
      </c>
      <c r="D4244" t="inlineStr">
        <is>
          <t>SKÅNE LÄN</t>
        </is>
      </c>
      <c r="E4244" t="inlineStr">
        <is>
          <t>KRISTIANSTAD</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8924-2023</t>
        </is>
      </c>
      <c r="B4245" s="1" t="n">
        <v>44974</v>
      </c>
      <c r="C4245" s="1" t="n">
        <v>45962</v>
      </c>
      <c r="D4245" t="inlineStr">
        <is>
          <t>SKÅNE LÄN</t>
        </is>
      </c>
      <c r="E4245" t="inlineStr">
        <is>
          <t>SVALÖV</t>
        </is>
      </c>
      <c r="G4245" t="n">
        <v>6.8</v>
      </c>
      <c r="H4245" t="n">
        <v>0</v>
      </c>
      <c r="I4245" t="n">
        <v>0</v>
      </c>
      <c r="J4245" t="n">
        <v>0</v>
      </c>
      <c r="K4245" t="n">
        <v>0</v>
      </c>
      <c r="L4245" t="n">
        <v>0</v>
      </c>
      <c r="M4245" t="n">
        <v>0</v>
      </c>
      <c r="N4245" t="n">
        <v>0</v>
      </c>
      <c r="O4245" t="n">
        <v>0</v>
      </c>
      <c r="P4245" t="n">
        <v>0</v>
      </c>
      <c r="Q4245" t="n">
        <v>0</v>
      </c>
      <c r="R4245" s="2" t="inlineStr"/>
    </row>
    <row r="4246" ht="15" customHeight="1">
      <c r="A4246" t="inlineStr">
        <is>
          <t>A 17138-2025</t>
        </is>
      </c>
      <c r="B4246" s="1" t="n">
        <v>45755.80378472222</v>
      </c>
      <c r="C4246" s="1" t="n">
        <v>45962</v>
      </c>
      <c r="D4246" t="inlineStr">
        <is>
          <t>SKÅNE LÄN</t>
        </is>
      </c>
      <c r="E4246" t="inlineStr">
        <is>
          <t>HÄSSLEHOLM</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12315-2025</t>
        </is>
      </c>
      <c r="B4247" s="1" t="n">
        <v>45729.81550925926</v>
      </c>
      <c r="C4247" s="1" t="n">
        <v>45962</v>
      </c>
      <c r="D4247" t="inlineStr">
        <is>
          <t>SKÅNE LÄN</t>
        </is>
      </c>
      <c r="E4247" t="inlineStr">
        <is>
          <t>KRISTIANSTAD</t>
        </is>
      </c>
      <c r="G4247" t="n">
        <v>3.6</v>
      </c>
      <c r="H4247" t="n">
        <v>0</v>
      </c>
      <c r="I4247" t="n">
        <v>0</v>
      </c>
      <c r="J4247" t="n">
        <v>0</v>
      </c>
      <c r="K4247" t="n">
        <v>0</v>
      </c>
      <c r="L4247" t="n">
        <v>0</v>
      </c>
      <c r="M4247" t="n">
        <v>0</v>
      </c>
      <c r="N4247" t="n">
        <v>0</v>
      </c>
      <c r="O4247" t="n">
        <v>0</v>
      </c>
      <c r="P4247" t="n">
        <v>0</v>
      </c>
      <c r="Q4247" t="n">
        <v>0</v>
      </c>
      <c r="R4247" s="2" t="inlineStr"/>
    </row>
    <row r="4248" ht="15" customHeight="1">
      <c r="A4248" t="inlineStr">
        <is>
          <t>A 61602-2024</t>
        </is>
      </c>
      <c r="B4248" s="1" t="n">
        <v>45646.6387962963</v>
      </c>
      <c r="C4248" s="1" t="n">
        <v>45962</v>
      </c>
      <c r="D4248" t="inlineStr">
        <is>
          <t>SKÅNE LÄN</t>
        </is>
      </c>
      <c r="E4248" t="inlineStr">
        <is>
          <t>ÖRKELLJUNGA</t>
        </is>
      </c>
      <c r="G4248" t="n">
        <v>3</v>
      </c>
      <c r="H4248" t="n">
        <v>0</v>
      </c>
      <c r="I4248" t="n">
        <v>0</v>
      </c>
      <c r="J4248" t="n">
        <v>0</v>
      </c>
      <c r="K4248" t="n">
        <v>0</v>
      </c>
      <c r="L4248" t="n">
        <v>0</v>
      </c>
      <c r="M4248" t="n">
        <v>0</v>
      </c>
      <c r="N4248" t="n">
        <v>0</v>
      </c>
      <c r="O4248" t="n">
        <v>0</v>
      </c>
      <c r="P4248" t="n">
        <v>0</v>
      </c>
      <c r="Q4248" t="n">
        <v>0</v>
      </c>
      <c r="R4248" s="2" t="inlineStr"/>
    </row>
    <row r="4249" ht="15" customHeight="1">
      <c r="A4249" t="inlineStr">
        <is>
          <t>A 35489-2025</t>
        </is>
      </c>
      <c r="B4249" s="1" t="n">
        <v>45855.79260416667</v>
      </c>
      <c r="C4249" s="1" t="n">
        <v>45962</v>
      </c>
      <c r="D4249" t="inlineStr">
        <is>
          <t>SKÅNE LÄN</t>
        </is>
      </c>
      <c r="E4249" t="inlineStr">
        <is>
          <t>ÖRKELLJUNGA</t>
        </is>
      </c>
      <c r="G4249" t="n">
        <v>6.3</v>
      </c>
      <c r="H4249" t="n">
        <v>0</v>
      </c>
      <c r="I4249" t="n">
        <v>0</v>
      </c>
      <c r="J4249" t="n">
        <v>0</v>
      </c>
      <c r="K4249" t="n">
        <v>0</v>
      </c>
      <c r="L4249" t="n">
        <v>0</v>
      </c>
      <c r="M4249" t="n">
        <v>0</v>
      </c>
      <c r="N4249" t="n">
        <v>0</v>
      </c>
      <c r="O4249" t="n">
        <v>0</v>
      </c>
      <c r="P4249" t="n">
        <v>0</v>
      </c>
      <c r="Q4249" t="n">
        <v>0</v>
      </c>
      <c r="R4249" s="2" t="inlineStr"/>
    </row>
    <row r="4250" ht="15" customHeight="1">
      <c r="A4250" t="inlineStr">
        <is>
          <t>A 6034-2025</t>
        </is>
      </c>
      <c r="B4250" s="1" t="n">
        <v>45695.64231481482</v>
      </c>
      <c r="C4250" s="1" t="n">
        <v>45962</v>
      </c>
      <c r="D4250" t="inlineStr">
        <is>
          <t>SKÅNE LÄN</t>
        </is>
      </c>
      <c r="E4250" t="inlineStr">
        <is>
          <t>LUND</t>
        </is>
      </c>
      <c r="G4250" t="n">
        <v>10.2</v>
      </c>
      <c r="H4250" t="n">
        <v>0</v>
      </c>
      <c r="I4250" t="n">
        <v>0</v>
      </c>
      <c r="J4250" t="n">
        <v>0</v>
      </c>
      <c r="K4250" t="n">
        <v>0</v>
      </c>
      <c r="L4250" t="n">
        <v>0</v>
      </c>
      <c r="M4250" t="n">
        <v>0</v>
      </c>
      <c r="N4250" t="n">
        <v>0</v>
      </c>
      <c r="O4250" t="n">
        <v>0</v>
      </c>
      <c r="P4250" t="n">
        <v>0</v>
      </c>
      <c r="Q4250" t="n">
        <v>0</v>
      </c>
      <c r="R4250" s="2" t="inlineStr"/>
    </row>
    <row r="4251" ht="15" customHeight="1">
      <c r="A4251" t="inlineStr">
        <is>
          <t>A 56930-2022</t>
        </is>
      </c>
      <c r="B4251" s="1" t="n">
        <v>44894</v>
      </c>
      <c r="C4251" s="1" t="n">
        <v>45962</v>
      </c>
      <c r="D4251" t="inlineStr">
        <is>
          <t>SKÅNE LÄN</t>
        </is>
      </c>
      <c r="E4251" t="inlineStr">
        <is>
          <t>KRISTIANSTAD</t>
        </is>
      </c>
      <c r="F4251" t="inlineStr">
        <is>
          <t>Kyrkan</t>
        </is>
      </c>
      <c r="G4251" t="n">
        <v>1.8</v>
      </c>
      <c r="H4251" t="n">
        <v>0</v>
      </c>
      <c r="I4251" t="n">
        <v>0</v>
      </c>
      <c r="J4251" t="n">
        <v>0</v>
      </c>
      <c r="K4251" t="n">
        <v>0</v>
      </c>
      <c r="L4251" t="n">
        <v>0</v>
      </c>
      <c r="M4251" t="n">
        <v>0</v>
      </c>
      <c r="N4251" t="n">
        <v>0</v>
      </c>
      <c r="O4251" t="n">
        <v>0</v>
      </c>
      <c r="P4251" t="n">
        <v>0</v>
      </c>
      <c r="Q4251" t="n">
        <v>0</v>
      </c>
      <c r="R4251" s="2" t="inlineStr"/>
    </row>
    <row r="4252" ht="15" customHeight="1">
      <c r="A4252" t="inlineStr">
        <is>
          <t>A 42364-2023</t>
        </is>
      </c>
      <c r="B4252" s="1" t="n">
        <v>45180.54754629629</v>
      </c>
      <c r="C4252" s="1" t="n">
        <v>45962</v>
      </c>
      <c r="D4252" t="inlineStr">
        <is>
          <t>SKÅNE LÄN</t>
        </is>
      </c>
      <c r="E4252" t="inlineStr">
        <is>
          <t>HÄSSLEHOLM</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3781-2024</t>
        </is>
      </c>
      <c r="B4253" s="1" t="n">
        <v>45321.59253472222</v>
      </c>
      <c r="C4253" s="1" t="n">
        <v>45962</v>
      </c>
      <c r="D4253" t="inlineStr">
        <is>
          <t>SKÅNE LÄN</t>
        </is>
      </c>
      <c r="E4253" t="inlineStr">
        <is>
          <t>ÖSTRA GÖINGE</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3796-2024</t>
        </is>
      </c>
      <c r="B4254" s="1" t="n">
        <v>45321</v>
      </c>
      <c r="C4254" s="1" t="n">
        <v>45962</v>
      </c>
      <c r="D4254" t="inlineStr">
        <is>
          <t>SKÅNE LÄN</t>
        </is>
      </c>
      <c r="E4254" t="inlineStr">
        <is>
          <t>KRISTIANSTAD</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61031-2022</t>
        </is>
      </c>
      <c r="B4255" s="1" t="n">
        <v>44914</v>
      </c>
      <c r="C4255" s="1" t="n">
        <v>45962</v>
      </c>
      <c r="D4255" t="inlineStr">
        <is>
          <t>SKÅNE LÄN</t>
        </is>
      </c>
      <c r="E4255" t="inlineStr">
        <is>
          <t>SJÖBO</t>
        </is>
      </c>
      <c r="F4255" t="inlineStr">
        <is>
          <t>Övriga Aktiebolag</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21654-2024</t>
        </is>
      </c>
      <c r="B4256" s="1" t="n">
        <v>45442</v>
      </c>
      <c r="C4256" s="1" t="n">
        <v>45962</v>
      </c>
      <c r="D4256" t="inlineStr">
        <is>
          <t>SKÅNE LÄN</t>
        </is>
      </c>
      <c r="E4256" t="inlineStr">
        <is>
          <t>KLIPPAN</t>
        </is>
      </c>
      <c r="G4256" t="n">
        <v>7.2</v>
      </c>
      <c r="H4256" t="n">
        <v>0</v>
      </c>
      <c r="I4256" t="n">
        <v>0</v>
      </c>
      <c r="J4256" t="n">
        <v>0</v>
      </c>
      <c r="K4256" t="n">
        <v>0</v>
      </c>
      <c r="L4256" t="n">
        <v>0</v>
      </c>
      <c r="M4256" t="n">
        <v>0</v>
      </c>
      <c r="N4256" t="n">
        <v>0</v>
      </c>
      <c r="O4256" t="n">
        <v>0</v>
      </c>
      <c r="P4256" t="n">
        <v>0</v>
      </c>
      <c r="Q4256" t="n">
        <v>0</v>
      </c>
      <c r="R4256" s="2" t="inlineStr"/>
    </row>
    <row r="4257" ht="15" customHeight="1">
      <c r="A4257" t="inlineStr">
        <is>
          <t>A 35719-2025</t>
        </is>
      </c>
      <c r="B4257" s="1" t="n">
        <v>45860.43425925926</v>
      </c>
      <c r="C4257" s="1" t="n">
        <v>45962</v>
      </c>
      <c r="D4257" t="inlineStr">
        <is>
          <t>SKÅNE LÄN</t>
        </is>
      </c>
      <c r="E4257" t="inlineStr">
        <is>
          <t>KRISTIANSTAD</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45725-2022</t>
        </is>
      </c>
      <c r="B4258" s="1" t="n">
        <v>44846</v>
      </c>
      <c r="C4258" s="1" t="n">
        <v>45962</v>
      </c>
      <c r="D4258" t="inlineStr">
        <is>
          <t>SKÅNE LÄN</t>
        </is>
      </c>
      <c r="E4258" t="inlineStr">
        <is>
          <t>LUND</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57695-2023</t>
        </is>
      </c>
      <c r="B4259" s="1" t="n">
        <v>45246</v>
      </c>
      <c r="C4259" s="1" t="n">
        <v>45962</v>
      </c>
      <c r="D4259" t="inlineStr">
        <is>
          <t>SKÅNE LÄN</t>
        </is>
      </c>
      <c r="E4259" t="inlineStr">
        <is>
          <t>HÄSSLEHOLM</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15232-2025</t>
        </is>
      </c>
      <c r="B4260" s="1" t="n">
        <v>45744.60167824074</v>
      </c>
      <c r="C4260" s="1" t="n">
        <v>45962</v>
      </c>
      <c r="D4260" t="inlineStr">
        <is>
          <t>SKÅNE LÄN</t>
        </is>
      </c>
      <c r="E4260" t="inlineStr">
        <is>
          <t>OSBY</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35792-2025</t>
        </is>
      </c>
      <c r="B4261" s="1" t="n">
        <v>45861.34115740741</v>
      </c>
      <c r="C4261" s="1" t="n">
        <v>45962</v>
      </c>
      <c r="D4261" t="inlineStr">
        <is>
          <t>SKÅNE LÄN</t>
        </is>
      </c>
      <c r="E4261" t="inlineStr">
        <is>
          <t>TOMELILLA</t>
        </is>
      </c>
      <c r="F4261" t="inlineStr">
        <is>
          <t>Övriga Aktiebolag</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54408-2024</t>
        </is>
      </c>
      <c r="B4262" s="1" t="n">
        <v>45617.47263888889</v>
      </c>
      <c r="C4262" s="1" t="n">
        <v>45962</v>
      </c>
      <c r="D4262" t="inlineStr">
        <is>
          <t>SKÅNE LÄN</t>
        </is>
      </c>
      <c r="E4262" t="inlineStr">
        <is>
          <t>HÄSSLEHOLM</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15492-2023</t>
        </is>
      </c>
      <c r="B4263" s="1" t="n">
        <v>45020</v>
      </c>
      <c r="C4263" s="1" t="n">
        <v>45962</v>
      </c>
      <c r="D4263" t="inlineStr">
        <is>
          <t>SKÅNE LÄN</t>
        </is>
      </c>
      <c r="E4263" t="inlineStr">
        <is>
          <t>KRISTIANSTAD</t>
        </is>
      </c>
      <c r="F4263" t="inlineStr">
        <is>
          <t>Sveaskog</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12162-2023</t>
        </is>
      </c>
      <c r="B4264" s="1" t="n">
        <v>44998.49619212963</v>
      </c>
      <c r="C4264" s="1" t="n">
        <v>45962</v>
      </c>
      <c r="D4264" t="inlineStr">
        <is>
          <t>SKÅNE LÄN</t>
        </is>
      </c>
      <c r="E4264" t="inlineStr">
        <is>
          <t>HÄSSLEHOLM</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18968-2025</t>
        </is>
      </c>
      <c r="B4265" s="1" t="n">
        <v>45764.53686342593</v>
      </c>
      <c r="C4265" s="1" t="n">
        <v>45962</v>
      </c>
      <c r="D4265" t="inlineStr">
        <is>
          <t>SKÅNE LÄN</t>
        </is>
      </c>
      <c r="E4265" t="inlineStr">
        <is>
          <t>KÄVLINGE</t>
        </is>
      </c>
      <c r="G4265" t="n">
        <v>8.199999999999999</v>
      </c>
      <c r="H4265" t="n">
        <v>0</v>
      </c>
      <c r="I4265" t="n">
        <v>0</v>
      </c>
      <c r="J4265" t="n">
        <v>0</v>
      </c>
      <c r="K4265" t="n">
        <v>0</v>
      </c>
      <c r="L4265" t="n">
        <v>0</v>
      </c>
      <c r="M4265" t="n">
        <v>0</v>
      </c>
      <c r="N4265" t="n">
        <v>0</v>
      </c>
      <c r="O4265" t="n">
        <v>0</v>
      </c>
      <c r="P4265" t="n">
        <v>0</v>
      </c>
      <c r="Q4265" t="n">
        <v>0</v>
      </c>
      <c r="R4265" s="2" t="inlineStr"/>
    </row>
    <row r="4266" ht="15" customHeight="1">
      <c r="A4266" t="inlineStr">
        <is>
          <t>A 65288-2020</t>
        </is>
      </c>
      <c r="B4266" s="1" t="n">
        <v>44173</v>
      </c>
      <c r="C4266" s="1" t="n">
        <v>45962</v>
      </c>
      <c r="D4266" t="inlineStr">
        <is>
          <t>SKÅNE LÄN</t>
        </is>
      </c>
      <c r="E4266" t="inlineStr">
        <is>
          <t>KRISTIANSTAD</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13597-2024</t>
        </is>
      </c>
      <c r="B4267" s="1" t="n">
        <v>45390.31549768519</v>
      </c>
      <c r="C4267" s="1" t="n">
        <v>45962</v>
      </c>
      <c r="D4267" t="inlineStr">
        <is>
          <t>SKÅNE LÄN</t>
        </is>
      </c>
      <c r="E4267" t="inlineStr">
        <is>
          <t>OSBY</t>
        </is>
      </c>
      <c r="F4267" t="inlineStr">
        <is>
          <t>Sveaskog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34340-2025</t>
        </is>
      </c>
      <c r="B4268" s="1" t="n">
        <v>45846</v>
      </c>
      <c r="C4268" s="1" t="n">
        <v>45962</v>
      </c>
      <c r="D4268" t="inlineStr">
        <is>
          <t>SKÅNE LÄN</t>
        </is>
      </c>
      <c r="E4268" t="inlineStr">
        <is>
          <t>ÖSTRA GÖINGE</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47844-2024</t>
        </is>
      </c>
      <c r="B4269" s="1" t="n">
        <v>45588.65626157408</v>
      </c>
      <c r="C4269" s="1" t="n">
        <v>45962</v>
      </c>
      <c r="D4269" t="inlineStr">
        <is>
          <t>SKÅNE LÄN</t>
        </is>
      </c>
      <c r="E4269" t="inlineStr">
        <is>
          <t>OSBY</t>
        </is>
      </c>
      <c r="G4269" t="n">
        <v>4</v>
      </c>
      <c r="H4269" t="n">
        <v>0</v>
      </c>
      <c r="I4269" t="n">
        <v>0</v>
      </c>
      <c r="J4269" t="n">
        <v>0</v>
      </c>
      <c r="K4269" t="n">
        <v>0</v>
      </c>
      <c r="L4269" t="n">
        <v>0</v>
      </c>
      <c r="M4269" t="n">
        <v>0</v>
      </c>
      <c r="N4269" t="n">
        <v>0</v>
      </c>
      <c r="O4269" t="n">
        <v>0</v>
      </c>
      <c r="P4269" t="n">
        <v>0</v>
      </c>
      <c r="Q4269" t="n">
        <v>0</v>
      </c>
      <c r="R4269" s="2" t="inlineStr"/>
    </row>
    <row r="4270" ht="15" customHeight="1">
      <c r="A4270" t="inlineStr">
        <is>
          <t>A 47879-2024</t>
        </is>
      </c>
      <c r="B4270" s="1" t="n">
        <v>45588.74049768518</v>
      </c>
      <c r="C4270" s="1" t="n">
        <v>45962</v>
      </c>
      <c r="D4270" t="inlineStr">
        <is>
          <t>SKÅNE LÄN</t>
        </is>
      </c>
      <c r="E4270" t="inlineStr">
        <is>
          <t>OSBY</t>
        </is>
      </c>
      <c r="G4270" t="n">
        <v>3.8</v>
      </c>
      <c r="H4270" t="n">
        <v>0</v>
      </c>
      <c r="I4270" t="n">
        <v>0</v>
      </c>
      <c r="J4270" t="n">
        <v>0</v>
      </c>
      <c r="K4270" t="n">
        <v>0</v>
      </c>
      <c r="L4270" t="n">
        <v>0</v>
      </c>
      <c r="M4270" t="n">
        <v>0</v>
      </c>
      <c r="N4270" t="n">
        <v>0</v>
      </c>
      <c r="O4270" t="n">
        <v>0</v>
      </c>
      <c r="P4270" t="n">
        <v>0</v>
      </c>
      <c r="Q4270" t="n">
        <v>0</v>
      </c>
      <c r="R4270" s="2" t="inlineStr"/>
    </row>
    <row r="4271" ht="15" customHeight="1">
      <c r="A4271" t="inlineStr">
        <is>
          <t>A 35721-2025</t>
        </is>
      </c>
      <c r="B4271" s="1" t="n">
        <v>45860.43550925926</v>
      </c>
      <c r="C4271" s="1" t="n">
        <v>45962</v>
      </c>
      <c r="D4271" t="inlineStr">
        <is>
          <t>SKÅNE LÄN</t>
        </is>
      </c>
      <c r="E4271" t="inlineStr">
        <is>
          <t>KRISTIANSTAD</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31624-2023</t>
        </is>
      </c>
      <c r="B4272" s="1" t="n">
        <v>45117.55719907407</v>
      </c>
      <c r="C4272" s="1" t="n">
        <v>45962</v>
      </c>
      <c r="D4272" t="inlineStr">
        <is>
          <t>SKÅNE LÄN</t>
        </is>
      </c>
      <c r="E4272" t="inlineStr">
        <is>
          <t>OSBY</t>
        </is>
      </c>
      <c r="F4272" t="inlineStr">
        <is>
          <t>Sveaskog</t>
        </is>
      </c>
      <c r="G4272" t="n">
        <v>5.7</v>
      </c>
      <c r="H4272" t="n">
        <v>0</v>
      </c>
      <c r="I4272" t="n">
        <v>0</v>
      </c>
      <c r="J4272" t="n">
        <v>0</v>
      </c>
      <c r="K4272" t="n">
        <v>0</v>
      </c>
      <c r="L4272" t="n">
        <v>0</v>
      </c>
      <c r="M4272" t="n">
        <v>0</v>
      </c>
      <c r="N4272" t="n">
        <v>0</v>
      </c>
      <c r="O4272" t="n">
        <v>0</v>
      </c>
      <c r="P4272" t="n">
        <v>0</v>
      </c>
      <c r="Q4272" t="n">
        <v>0</v>
      </c>
      <c r="R4272" s="2" t="inlineStr"/>
    </row>
    <row r="4273" ht="15" customHeight="1">
      <c r="A4273" t="inlineStr">
        <is>
          <t>A 46521-2023</t>
        </is>
      </c>
      <c r="B4273" s="1" t="n">
        <v>45197</v>
      </c>
      <c r="C4273" s="1" t="n">
        <v>45962</v>
      </c>
      <c r="D4273" t="inlineStr">
        <is>
          <t>SKÅNE LÄN</t>
        </is>
      </c>
      <c r="E4273" t="inlineStr">
        <is>
          <t>KRISTIANSTAD</t>
        </is>
      </c>
      <c r="G4273" t="n">
        <v>10.3</v>
      </c>
      <c r="H4273" t="n">
        <v>0</v>
      </c>
      <c r="I4273" t="n">
        <v>0</v>
      </c>
      <c r="J4273" t="n">
        <v>0</v>
      </c>
      <c r="K4273" t="n">
        <v>0</v>
      </c>
      <c r="L4273" t="n">
        <v>0</v>
      </c>
      <c r="M4273" t="n">
        <v>0</v>
      </c>
      <c r="N4273" t="n">
        <v>0</v>
      </c>
      <c r="O4273" t="n">
        <v>0</v>
      </c>
      <c r="P4273" t="n">
        <v>0</v>
      </c>
      <c r="Q4273" t="n">
        <v>0</v>
      </c>
      <c r="R4273" s="2" t="inlineStr"/>
    </row>
    <row r="4274" ht="15" customHeight="1">
      <c r="A4274" t="inlineStr">
        <is>
          <t>A 46524-2023</t>
        </is>
      </c>
      <c r="B4274" s="1" t="n">
        <v>45197</v>
      </c>
      <c r="C4274" s="1" t="n">
        <v>45962</v>
      </c>
      <c r="D4274" t="inlineStr">
        <is>
          <t>SKÅNE LÄN</t>
        </is>
      </c>
      <c r="E4274" t="inlineStr">
        <is>
          <t>KRISTIANSTAD</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31693-2023</t>
        </is>
      </c>
      <c r="B4275" s="1" t="n">
        <v>45117</v>
      </c>
      <c r="C4275" s="1" t="n">
        <v>45962</v>
      </c>
      <c r="D4275" t="inlineStr">
        <is>
          <t>SKÅNE LÄN</t>
        </is>
      </c>
      <c r="E4275" t="inlineStr">
        <is>
          <t>SVEDALA</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31720-2023</t>
        </is>
      </c>
      <c r="B4276" s="1" t="n">
        <v>45117.89738425926</v>
      </c>
      <c r="C4276" s="1" t="n">
        <v>45962</v>
      </c>
      <c r="D4276" t="inlineStr">
        <is>
          <t>SKÅNE LÄN</t>
        </is>
      </c>
      <c r="E4276" t="inlineStr">
        <is>
          <t>ÄNGELHOLM</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28847-2023</t>
        </is>
      </c>
      <c r="B4277" s="1" t="n">
        <v>45104</v>
      </c>
      <c r="C4277" s="1" t="n">
        <v>45962</v>
      </c>
      <c r="D4277" t="inlineStr">
        <is>
          <t>SKÅNE LÄN</t>
        </is>
      </c>
      <c r="E4277" t="inlineStr">
        <is>
          <t>KLIPPAN</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5780-2024</t>
        </is>
      </c>
      <c r="B4278" s="1" t="n">
        <v>45335.41983796296</v>
      </c>
      <c r="C4278" s="1" t="n">
        <v>45962</v>
      </c>
      <c r="D4278" t="inlineStr">
        <is>
          <t>SKÅNE LÄN</t>
        </is>
      </c>
      <c r="E4278" t="inlineStr">
        <is>
          <t>HÄSSLEHOLM</t>
        </is>
      </c>
      <c r="G4278" t="n">
        <v>2.5</v>
      </c>
      <c r="H4278" t="n">
        <v>0</v>
      </c>
      <c r="I4278" t="n">
        <v>0</v>
      </c>
      <c r="J4278" t="n">
        <v>0</v>
      </c>
      <c r="K4278" t="n">
        <v>0</v>
      </c>
      <c r="L4278" t="n">
        <v>0</v>
      </c>
      <c r="M4278" t="n">
        <v>0</v>
      </c>
      <c r="N4278" t="n">
        <v>0</v>
      </c>
      <c r="O4278" t="n">
        <v>0</v>
      </c>
      <c r="P4278" t="n">
        <v>0</v>
      </c>
      <c r="Q4278" t="n">
        <v>0</v>
      </c>
      <c r="R4278" s="2" t="inlineStr"/>
    </row>
    <row r="4279" ht="15" customHeight="1">
      <c r="A4279" t="inlineStr">
        <is>
          <t>A 56646-2023</t>
        </is>
      </c>
      <c r="B4279" s="1" t="n">
        <v>45243</v>
      </c>
      <c r="C4279" s="1" t="n">
        <v>45962</v>
      </c>
      <c r="D4279" t="inlineStr">
        <is>
          <t>SKÅNE LÄN</t>
        </is>
      </c>
      <c r="E4279" t="inlineStr">
        <is>
          <t>ÖSTRA GÖINGE</t>
        </is>
      </c>
      <c r="G4279" t="n">
        <v>7.2</v>
      </c>
      <c r="H4279" t="n">
        <v>0</v>
      </c>
      <c r="I4279" t="n">
        <v>0</v>
      </c>
      <c r="J4279" t="n">
        <v>0</v>
      </c>
      <c r="K4279" t="n">
        <v>0</v>
      </c>
      <c r="L4279" t="n">
        <v>0</v>
      </c>
      <c r="M4279" t="n">
        <v>0</v>
      </c>
      <c r="N4279" t="n">
        <v>0</v>
      </c>
      <c r="O4279" t="n">
        <v>0</v>
      </c>
      <c r="P4279" t="n">
        <v>0</v>
      </c>
      <c r="Q4279" t="n">
        <v>0</v>
      </c>
      <c r="R4279" s="2" t="inlineStr"/>
    </row>
    <row r="4280" ht="15" customHeight="1">
      <c r="A4280" t="inlineStr">
        <is>
          <t>A 61440-2024</t>
        </is>
      </c>
      <c r="B4280" s="1" t="n">
        <v>45646.46715277778</v>
      </c>
      <c r="C4280" s="1" t="n">
        <v>45962</v>
      </c>
      <c r="D4280" t="inlineStr">
        <is>
          <t>SKÅNE LÄN</t>
        </is>
      </c>
      <c r="E4280" t="inlineStr">
        <is>
          <t>KRISTIANSTAD</t>
        </is>
      </c>
      <c r="F4280" t="inlineStr">
        <is>
          <t>Övriga Aktiebolag</t>
        </is>
      </c>
      <c r="G4280" t="n">
        <v>6.4</v>
      </c>
      <c r="H4280" t="n">
        <v>0</v>
      </c>
      <c r="I4280" t="n">
        <v>0</v>
      </c>
      <c r="J4280" t="n">
        <v>0</v>
      </c>
      <c r="K4280" t="n">
        <v>0</v>
      </c>
      <c r="L4280" t="n">
        <v>0</v>
      </c>
      <c r="M4280" t="n">
        <v>0</v>
      </c>
      <c r="N4280" t="n">
        <v>0</v>
      </c>
      <c r="O4280" t="n">
        <v>0</v>
      </c>
      <c r="P4280" t="n">
        <v>0</v>
      </c>
      <c r="Q4280" t="n">
        <v>0</v>
      </c>
      <c r="R4280" s="2" t="inlineStr"/>
    </row>
    <row r="4281" ht="15" customHeight="1">
      <c r="A4281" t="inlineStr">
        <is>
          <t>A 10044-2025</t>
        </is>
      </c>
      <c r="B4281" s="1" t="n">
        <v>45719.50620370371</v>
      </c>
      <c r="C4281" s="1" t="n">
        <v>45962</v>
      </c>
      <c r="D4281" t="inlineStr">
        <is>
          <t>SKÅNE LÄN</t>
        </is>
      </c>
      <c r="E4281" t="inlineStr">
        <is>
          <t>KRISTIANSTAD</t>
        </is>
      </c>
      <c r="G4281" t="n">
        <v>1.2</v>
      </c>
      <c r="H4281" t="n">
        <v>0</v>
      </c>
      <c r="I4281" t="n">
        <v>0</v>
      </c>
      <c r="J4281" t="n">
        <v>0</v>
      </c>
      <c r="K4281" t="n">
        <v>0</v>
      </c>
      <c r="L4281" t="n">
        <v>0</v>
      </c>
      <c r="M4281" t="n">
        <v>0</v>
      </c>
      <c r="N4281" t="n">
        <v>0</v>
      </c>
      <c r="O4281" t="n">
        <v>0</v>
      </c>
      <c r="P4281" t="n">
        <v>0</v>
      </c>
      <c r="Q4281" t="n">
        <v>0</v>
      </c>
      <c r="R4281" s="2" t="inlineStr"/>
    </row>
    <row r="4282" ht="15" customHeight="1">
      <c r="A4282" t="inlineStr">
        <is>
          <t>A 13324-2025</t>
        </is>
      </c>
      <c r="B4282" s="1" t="n">
        <v>45735</v>
      </c>
      <c r="C4282" s="1" t="n">
        <v>45962</v>
      </c>
      <c r="D4282" t="inlineStr">
        <is>
          <t>SKÅNE LÄN</t>
        </is>
      </c>
      <c r="E4282" t="inlineStr">
        <is>
          <t>ÖSTRA GÖINGE</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13347-2025</t>
        </is>
      </c>
      <c r="B4283" s="1" t="n">
        <v>45735.63175925926</v>
      </c>
      <c r="C4283" s="1" t="n">
        <v>45962</v>
      </c>
      <c r="D4283" t="inlineStr">
        <is>
          <t>SKÅNE LÄN</t>
        </is>
      </c>
      <c r="E4283" t="inlineStr">
        <is>
          <t>HÄSSLEHOLM</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17073-2023</t>
        </is>
      </c>
      <c r="B4284" s="1" t="n">
        <v>45034</v>
      </c>
      <c r="C4284" s="1" t="n">
        <v>45962</v>
      </c>
      <c r="D4284" t="inlineStr">
        <is>
          <t>SKÅNE LÄN</t>
        </is>
      </c>
      <c r="E4284" t="inlineStr">
        <is>
          <t>HÖRBY</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35808-2025</t>
        </is>
      </c>
      <c r="B4285" s="1" t="n">
        <v>45861.41337962963</v>
      </c>
      <c r="C4285" s="1" t="n">
        <v>45962</v>
      </c>
      <c r="D4285" t="inlineStr">
        <is>
          <t>SKÅNE LÄN</t>
        </is>
      </c>
      <c r="E4285" t="inlineStr">
        <is>
          <t>ÖRKELLJUNGA</t>
        </is>
      </c>
      <c r="G4285" t="n">
        <v>2.7</v>
      </c>
      <c r="H4285" t="n">
        <v>0</v>
      </c>
      <c r="I4285" t="n">
        <v>0</v>
      </c>
      <c r="J4285" t="n">
        <v>0</v>
      </c>
      <c r="K4285" t="n">
        <v>0</v>
      </c>
      <c r="L4285" t="n">
        <v>0</v>
      </c>
      <c r="M4285" t="n">
        <v>0</v>
      </c>
      <c r="N4285" t="n">
        <v>0</v>
      </c>
      <c r="O4285" t="n">
        <v>0</v>
      </c>
      <c r="P4285" t="n">
        <v>0</v>
      </c>
      <c r="Q4285" t="n">
        <v>0</v>
      </c>
      <c r="R4285" s="2" t="inlineStr"/>
    </row>
    <row r="4286" ht="15" customHeight="1">
      <c r="A4286" t="inlineStr">
        <is>
          <t>A 7043-2025</t>
        </is>
      </c>
      <c r="B4286" s="1" t="n">
        <v>45701.64104166667</v>
      </c>
      <c r="C4286" s="1" t="n">
        <v>45962</v>
      </c>
      <c r="D4286" t="inlineStr">
        <is>
          <t>SKÅNE LÄN</t>
        </is>
      </c>
      <c r="E4286" t="inlineStr">
        <is>
          <t>PERSTORP</t>
        </is>
      </c>
      <c r="F4286" t="inlineStr">
        <is>
          <t>Övriga Aktiebolag</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4916-2024</t>
        </is>
      </c>
      <c r="B4287" s="1" t="n">
        <v>45329</v>
      </c>
      <c r="C4287" s="1" t="n">
        <v>45962</v>
      </c>
      <c r="D4287" t="inlineStr">
        <is>
          <t>SKÅNE LÄN</t>
        </is>
      </c>
      <c r="E4287" t="inlineStr">
        <is>
          <t>HÄSSLEHOLM</t>
        </is>
      </c>
      <c r="G4287" t="n">
        <v>1.3</v>
      </c>
      <c r="H4287" t="n">
        <v>0</v>
      </c>
      <c r="I4287" t="n">
        <v>0</v>
      </c>
      <c r="J4287" t="n">
        <v>0</v>
      </c>
      <c r="K4287" t="n">
        <v>0</v>
      </c>
      <c r="L4287" t="n">
        <v>0</v>
      </c>
      <c r="M4287" t="n">
        <v>0</v>
      </c>
      <c r="N4287" t="n">
        <v>0</v>
      </c>
      <c r="O4287" t="n">
        <v>0</v>
      </c>
      <c r="P4287" t="n">
        <v>0</v>
      </c>
      <c r="Q4287" t="n">
        <v>0</v>
      </c>
      <c r="R4287" s="2" t="inlineStr"/>
    </row>
    <row r="4288" ht="15" customHeight="1">
      <c r="A4288" t="inlineStr">
        <is>
          <t>A 18369-2025</t>
        </is>
      </c>
      <c r="B4288" s="1" t="n">
        <v>45762</v>
      </c>
      <c r="C4288" s="1" t="n">
        <v>45962</v>
      </c>
      <c r="D4288" t="inlineStr">
        <is>
          <t>SKÅNE LÄN</t>
        </is>
      </c>
      <c r="E4288" t="inlineStr">
        <is>
          <t>HÖRBY</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26764-2023</t>
        </is>
      </c>
      <c r="B4289" s="1" t="n">
        <v>45093</v>
      </c>
      <c r="C4289" s="1" t="n">
        <v>45962</v>
      </c>
      <c r="D4289" t="inlineStr">
        <is>
          <t>SKÅNE LÄN</t>
        </is>
      </c>
      <c r="E4289" t="inlineStr">
        <is>
          <t>HÖÖR</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28870-2023</t>
        </is>
      </c>
      <c r="B4290" s="1" t="n">
        <v>45104.46216435185</v>
      </c>
      <c r="C4290" s="1" t="n">
        <v>45962</v>
      </c>
      <c r="D4290" t="inlineStr">
        <is>
          <t>SKÅNE LÄN</t>
        </is>
      </c>
      <c r="E4290" t="inlineStr">
        <is>
          <t>BROMÖLLA</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25129-2024</t>
        </is>
      </c>
      <c r="B4291" s="1" t="n">
        <v>45462.46355324074</v>
      </c>
      <c r="C4291" s="1" t="n">
        <v>45962</v>
      </c>
      <c r="D4291" t="inlineStr">
        <is>
          <t>SKÅNE LÄN</t>
        </is>
      </c>
      <c r="E4291" t="inlineStr">
        <is>
          <t>ÄNGELHOLM</t>
        </is>
      </c>
      <c r="G4291" t="n">
        <v>4.6</v>
      </c>
      <c r="H4291" t="n">
        <v>0</v>
      </c>
      <c r="I4291" t="n">
        <v>0</v>
      </c>
      <c r="J4291" t="n">
        <v>0</v>
      </c>
      <c r="K4291" t="n">
        <v>0</v>
      </c>
      <c r="L4291" t="n">
        <v>0</v>
      </c>
      <c r="M4291" t="n">
        <v>0</v>
      </c>
      <c r="N4291" t="n">
        <v>0</v>
      </c>
      <c r="O4291" t="n">
        <v>0</v>
      </c>
      <c r="P4291" t="n">
        <v>0</v>
      </c>
      <c r="Q4291" t="n">
        <v>0</v>
      </c>
      <c r="R4291" s="2" t="inlineStr"/>
    </row>
    <row r="4292" ht="15" customHeight="1">
      <c r="A4292" t="inlineStr">
        <is>
          <t>A 35946-2025</t>
        </is>
      </c>
      <c r="B4292" s="1" t="n">
        <v>45862.72125</v>
      </c>
      <c r="C4292" s="1" t="n">
        <v>45962</v>
      </c>
      <c r="D4292" t="inlineStr">
        <is>
          <t>SKÅNE LÄN</t>
        </is>
      </c>
      <c r="E4292" t="inlineStr">
        <is>
          <t>KRISTIANSTAD</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2881-2024</t>
        </is>
      </c>
      <c r="B4293" s="1" t="n">
        <v>45315.47284722222</v>
      </c>
      <c r="C4293" s="1" t="n">
        <v>45962</v>
      </c>
      <c r="D4293" t="inlineStr">
        <is>
          <t>SKÅNE LÄN</t>
        </is>
      </c>
      <c r="E4293" t="inlineStr">
        <is>
          <t>KRISTIANSTAD</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2111-2024</t>
        </is>
      </c>
      <c r="B4294" s="1" t="n">
        <v>45309</v>
      </c>
      <c r="C4294" s="1" t="n">
        <v>45962</v>
      </c>
      <c r="D4294" t="inlineStr">
        <is>
          <t>SKÅNE LÄN</t>
        </is>
      </c>
      <c r="E4294" t="inlineStr">
        <is>
          <t>OSBY</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15442-2022</t>
        </is>
      </c>
      <c r="B4295" s="1" t="n">
        <v>44659.85333333333</v>
      </c>
      <c r="C4295" s="1" t="n">
        <v>45962</v>
      </c>
      <c r="D4295" t="inlineStr">
        <is>
          <t>SKÅNE LÄN</t>
        </is>
      </c>
      <c r="E4295" t="inlineStr">
        <is>
          <t>KLIPPAN</t>
        </is>
      </c>
      <c r="G4295" t="n">
        <v>3.8</v>
      </c>
      <c r="H4295" t="n">
        <v>0</v>
      </c>
      <c r="I4295" t="n">
        <v>0</v>
      </c>
      <c r="J4295" t="n">
        <v>0</v>
      </c>
      <c r="K4295" t="n">
        <v>0</v>
      </c>
      <c r="L4295" t="n">
        <v>0</v>
      </c>
      <c r="M4295" t="n">
        <v>0</v>
      </c>
      <c r="N4295" t="n">
        <v>0</v>
      </c>
      <c r="O4295" t="n">
        <v>0</v>
      </c>
      <c r="P4295" t="n">
        <v>0</v>
      </c>
      <c r="Q4295" t="n">
        <v>0</v>
      </c>
      <c r="R4295" s="2" t="inlineStr"/>
    </row>
    <row r="4296" ht="15" customHeight="1">
      <c r="A4296" t="inlineStr">
        <is>
          <t>A 5565-2024</t>
        </is>
      </c>
      <c r="B4296" s="1" t="n">
        <v>45334</v>
      </c>
      <c r="C4296" s="1" t="n">
        <v>45962</v>
      </c>
      <c r="D4296" t="inlineStr">
        <is>
          <t>SKÅNE LÄN</t>
        </is>
      </c>
      <c r="E4296" t="inlineStr">
        <is>
          <t>TOMELILLA</t>
        </is>
      </c>
      <c r="G4296" t="n">
        <v>2.9</v>
      </c>
      <c r="H4296" t="n">
        <v>0</v>
      </c>
      <c r="I4296" t="n">
        <v>0</v>
      </c>
      <c r="J4296" t="n">
        <v>0</v>
      </c>
      <c r="K4296" t="n">
        <v>0</v>
      </c>
      <c r="L4296" t="n">
        <v>0</v>
      </c>
      <c r="M4296" t="n">
        <v>0</v>
      </c>
      <c r="N4296" t="n">
        <v>0</v>
      </c>
      <c r="O4296" t="n">
        <v>0</v>
      </c>
      <c r="P4296" t="n">
        <v>0</v>
      </c>
      <c r="Q4296" t="n">
        <v>0</v>
      </c>
      <c r="R4296" s="2" t="inlineStr"/>
    </row>
    <row r="4297" ht="15" customHeight="1">
      <c r="A4297" t="inlineStr">
        <is>
          <t>A 6830-2025</t>
        </is>
      </c>
      <c r="B4297" s="1" t="n">
        <v>45700</v>
      </c>
      <c r="C4297" s="1" t="n">
        <v>45962</v>
      </c>
      <c r="D4297" t="inlineStr">
        <is>
          <t>SKÅNE LÄN</t>
        </is>
      </c>
      <c r="E4297" t="inlineStr">
        <is>
          <t>SIMRISHAMN</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27175-2024</t>
        </is>
      </c>
      <c r="B4298" s="1" t="n">
        <v>45471.57111111111</v>
      </c>
      <c r="C4298" s="1" t="n">
        <v>45962</v>
      </c>
      <c r="D4298" t="inlineStr">
        <is>
          <t>SKÅNE LÄN</t>
        </is>
      </c>
      <c r="E4298" t="inlineStr">
        <is>
          <t>HÄSSLEHOLM</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35922-2025</t>
        </is>
      </c>
      <c r="B4299" s="1" t="n">
        <v>45862.5662962963</v>
      </c>
      <c r="C4299" s="1" t="n">
        <v>45962</v>
      </c>
      <c r="D4299" t="inlineStr">
        <is>
          <t>SKÅNE LÄN</t>
        </is>
      </c>
      <c r="E4299" t="inlineStr">
        <is>
          <t>PERSTORP</t>
        </is>
      </c>
      <c r="G4299" t="n">
        <v>1.6</v>
      </c>
      <c r="H4299" t="n">
        <v>0</v>
      </c>
      <c r="I4299" t="n">
        <v>0</v>
      </c>
      <c r="J4299" t="n">
        <v>0</v>
      </c>
      <c r="K4299" t="n">
        <v>0</v>
      </c>
      <c r="L4299" t="n">
        <v>0</v>
      </c>
      <c r="M4299" t="n">
        <v>0</v>
      </c>
      <c r="N4299" t="n">
        <v>0</v>
      </c>
      <c r="O4299" t="n">
        <v>0</v>
      </c>
      <c r="P4299" t="n">
        <v>0</v>
      </c>
      <c r="Q4299" t="n">
        <v>0</v>
      </c>
      <c r="R4299" s="2" t="inlineStr"/>
    </row>
    <row r="4300" ht="15" customHeight="1">
      <c r="A4300" t="inlineStr">
        <is>
          <t>A 2755-2023</t>
        </is>
      </c>
      <c r="B4300" s="1" t="n">
        <v>44944</v>
      </c>
      <c r="C4300" s="1" t="n">
        <v>45962</v>
      </c>
      <c r="D4300" t="inlineStr">
        <is>
          <t>SKÅNE LÄN</t>
        </is>
      </c>
      <c r="E4300" t="inlineStr">
        <is>
          <t>KLIPPAN</t>
        </is>
      </c>
      <c r="F4300" t="inlineStr">
        <is>
          <t>Sveaskog</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43882-2023</t>
        </is>
      </c>
      <c r="B4301" s="1" t="n">
        <v>45187.65003472222</v>
      </c>
      <c r="C4301" s="1" t="n">
        <v>45962</v>
      </c>
      <c r="D4301" t="inlineStr">
        <is>
          <t>SKÅNE LÄN</t>
        </is>
      </c>
      <c r="E4301" t="inlineStr">
        <is>
          <t>HÖRBY</t>
        </is>
      </c>
      <c r="F4301" t="inlineStr">
        <is>
          <t>Sveaskog</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69387-2021</t>
        </is>
      </c>
      <c r="B4302" s="1" t="n">
        <v>44531</v>
      </c>
      <c r="C4302" s="1" t="n">
        <v>45962</v>
      </c>
      <c r="D4302" t="inlineStr">
        <is>
          <t>SKÅNE LÄN</t>
        </is>
      </c>
      <c r="E4302" t="inlineStr">
        <is>
          <t>ÖSTRA GÖINGE</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12685-2024</t>
        </is>
      </c>
      <c r="B4303" s="1" t="n">
        <v>45384</v>
      </c>
      <c r="C4303" s="1" t="n">
        <v>45962</v>
      </c>
      <c r="D4303" t="inlineStr">
        <is>
          <t>SKÅNE LÄN</t>
        </is>
      </c>
      <c r="E4303" t="inlineStr">
        <is>
          <t>BROMÖLLA</t>
        </is>
      </c>
      <c r="G4303" t="n">
        <v>3.7</v>
      </c>
      <c r="H4303" t="n">
        <v>0</v>
      </c>
      <c r="I4303" t="n">
        <v>0</v>
      </c>
      <c r="J4303" t="n">
        <v>0</v>
      </c>
      <c r="K4303" t="n">
        <v>0</v>
      </c>
      <c r="L4303" t="n">
        <v>0</v>
      </c>
      <c r="M4303" t="n">
        <v>0</v>
      </c>
      <c r="N4303" t="n">
        <v>0</v>
      </c>
      <c r="O4303" t="n">
        <v>0</v>
      </c>
      <c r="P4303" t="n">
        <v>0</v>
      </c>
      <c r="Q4303" t="n">
        <v>0</v>
      </c>
      <c r="R4303" s="2" t="inlineStr"/>
    </row>
    <row r="4304" ht="15" customHeight="1">
      <c r="A4304" t="inlineStr">
        <is>
          <t>A 35971-2025</t>
        </is>
      </c>
      <c r="B4304" s="1" t="n">
        <v>45863</v>
      </c>
      <c r="C4304" s="1" t="n">
        <v>45962</v>
      </c>
      <c r="D4304" t="inlineStr">
        <is>
          <t>SKÅNE LÄN</t>
        </is>
      </c>
      <c r="E4304" t="inlineStr">
        <is>
          <t>TOMELILLA</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56177-2021</t>
        </is>
      </c>
      <c r="B4305" s="1" t="n">
        <v>44477</v>
      </c>
      <c r="C4305" s="1" t="n">
        <v>45962</v>
      </c>
      <c r="D4305" t="inlineStr">
        <is>
          <t>SKÅNE LÄN</t>
        </is>
      </c>
      <c r="E4305" t="inlineStr">
        <is>
          <t>OSBY</t>
        </is>
      </c>
      <c r="F4305" t="inlineStr">
        <is>
          <t>Kommuner</t>
        </is>
      </c>
      <c r="G4305" t="n">
        <v>2.5</v>
      </c>
      <c r="H4305" t="n">
        <v>0</v>
      </c>
      <c r="I4305" t="n">
        <v>0</v>
      </c>
      <c r="J4305" t="n">
        <v>0</v>
      </c>
      <c r="K4305" t="n">
        <v>0</v>
      </c>
      <c r="L4305" t="n">
        <v>0</v>
      </c>
      <c r="M4305" t="n">
        <v>0</v>
      </c>
      <c r="N4305" t="n">
        <v>0</v>
      </c>
      <c r="O4305" t="n">
        <v>0</v>
      </c>
      <c r="P4305" t="n">
        <v>0</v>
      </c>
      <c r="Q4305" t="n">
        <v>0</v>
      </c>
      <c r="R4305" s="2" t="inlineStr"/>
    </row>
    <row r="4306" ht="15" customHeight="1">
      <c r="A4306" t="inlineStr">
        <is>
          <t>A 53848-2023</t>
        </is>
      </c>
      <c r="B4306" s="1" t="n">
        <v>45231</v>
      </c>
      <c r="C4306" s="1" t="n">
        <v>45962</v>
      </c>
      <c r="D4306" t="inlineStr">
        <is>
          <t>SKÅNE LÄN</t>
        </is>
      </c>
      <c r="E4306" t="inlineStr">
        <is>
          <t>HÖÖR</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42092-2025</t>
        </is>
      </c>
      <c r="B4307" s="1" t="n">
        <v>45903</v>
      </c>
      <c r="C4307" s="1" t="n">
        <v>45962</v>
      </c>
      <c r="D4307" t="inlineStr">
        <is>
          <t>SKÅNE LÄN</t>
        </is>
      </c>
      <c r="E4307" t="inlineStr">
        <is>
          <t>KRISTIANSTAD</t>
        </is>
      </c>
      <c r="G4307" t="n">
        <v>7.6</v>
      </c>
      <c r="H4307" t="n">
        <v>0</v>
      </c>
      <c r="I4307" t="n">
        <v>0</v>
      </c>
      <c r="J4307" t="n">
        <v>0</v>
      </c>
      <c r="K4307" t="n">
        <v>0</v>
      </c>
      <c r="L4307" t="n">
        <v>0</v>
      </c>
      <c r="M4307" t="n">
        <v>0</v>
      </c>
      <c r="N4307" t="n">
        <v>0</v>
      </c>
      <c r="O4307" t="n">
        <v>0</v>
      </c>
      <c r="P4307" t="n">
        <v>0</v>
      </c>
      <c r="Q4307" t="n">
        <v>0</v>
      </c>
      <c r="R4307" s="2" t="inlineStr"/>
    </row>
    <row r="4308" ht="15" customHeight="1">
      <c r="A4308" t="inlineStr">
        <is>
          <t>A 16860-2025</t>
        </is>
      </c>
      <c r="B4308" s="1" t="n">
        <v>45751</v>
      </c>
      <c r="C4308" s="1" t="n">
        <v>45962</v>
      </c>
      <c r="D4308" t="inlineStr">
        <is>
          <t>SKÅNE LÄN</t>
        </is>
      </c>
      <c r="E4308" t="inlineStr">
        <is>
          <t>HÄSSLEHOLM</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36280-2025</t>
        </is>
      </c>
      <c r="B4309" s="1" t="n">
        <v>45867</v>
      </c>
      <c r="C4309" s="1" t="n">
        <v>45962</v>
      </c>
      <c r="D4309" t="inlineStr">
        <is>
          <t>SKÅNE LÄN</t>
        </is>
      </c>
      <c r="E4309" t="inlineStr">
        <is>
          <t>ÖRKELLJUNGA</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54647-2023</t>
        </is>
      </c>
      <c r="B4310" s="1" t="n">
        <v>45235.41175925926</v>
      </c>
      <c r="C4310" s="1" t="n">
        <v>45962</v>
      </c>
      <c r="D4310" t="inlineStr">
        <is>
          <t>SKÅNE LÄN</t>
        </is>
      </c>
      <c r="E4310" t="inlineStr">
        <is>
          <t>PERSTORP</t>
        </is>
      </c>
      <c r="G4310" t="n">
        <v>2.6</v>
      </c>
      <c r="H4310" t="n">
        <v>0</v>
      </c>
      <c r="I4310" t="n">
        <v>0</v>
      </c>
      <c r="J4310" t="n">
        <v>0</v>
      </c>
      <c r="K4310" t="n">
        <v>0</v>
      </c>
      <c r="L4310" t="n">
        <v>0</v>
      </c>
      <c r="M4310" t="n">
        <v>0</v>
      </c>
      <c r="N4310" t="n">
        <v>0</v>
      </c>
      <c r="O4310" t="n">
        <v>0</v>
      </c>
      <c r="P4310" t="n">
        <v>0</v>
      </c>
      <c r="Q4310" t="n">
        <v>0</v>
      </c>
      <c r="R4310" s="2" t="inlineStr"/>
    </row>
    <row r="4311" ht="15" customHeight="1">
      <c r="A4311" t="inlineStr">
        <is>
          <t>A 54658-2023</t>
        </is>
      </c>
      <c r="B4311" s="1" t="n">
        <v>45235</v>
      </c>
      <c r="C4311" s="1" t="n">
        <v>45962</v>
      </c>
      <c r="D4311" t="inlineStr">
        <is>
          <t>SKÅNE LÄN</t>
        </is>
      </c>
      <c r="E4311" t="inlineStr">
        <is>
          <t>HÄSSLEHOLM</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54661-2023</t>
        </is>
      </c>
      <c r="B4312" s="1" t="n">
        <v>45235.61505787037</v>
      </c>
      <c r="C4312" s="1" t="n">
        <v>45962</v>
      </c>
      <c r="D4312" t="inlineStr">
        <is>
          <t>SKÅNE LÄN</t>
        </is>
      </c>
      <c r="E4312" t="inlineStr">
        <is>
          <t>ÖRKELLJUNGA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54646-2023</t>
        </is>
      </c>
      <c r="B4313" s="1" t="n">
        <v>45235.40707175926</v>
      </c>
      <c r="C4313" s="1" t="n">
        <v>45962</v>
      </c>
      <c r="D4313" t="inlineStr">
        <is>
          <t>SKÅNE LÄN</t>
        </is>
      </c>
      <c r="E4313" t="inlineStr">
        <is>
          <t>ÖRKELLJUNGA</t>
        </is>
      </c>
      <c r="G4313" t="n">
        <v>5.3</v>
      </c>
      <c r="H4313" t="n">
        <v>0</v>
      </c>
      <c r="I4313" t="n">
        <v>0</v>
      </c>
      <c r="J4313" t="n">
        <v>0</v>
      </c>
      <c r="K4313" t="n">
        <v>0</v>
      </c>
      <c r="L4313" t="n">
        <v>0</v>
      </c>
      <c r="M4313" t="n">
        <v>0</v>
      </c>
      <c r="N4313" t="n">
        <v>0</v>
      </c>
      <c r="O4313" t="n">
        <v>0</v>
      </c>
      <c r="P4313" t="n">
        <v>0</v>
      </c>
      <c r="Q4313" t="n">
        <v>0</v>
      </c>
      <c r="R4313" s="2" t="inlineStr"/>
    </row>
    <row r="4314" ht="15" customHeight="1">
      <c r="A4314" t="inlineStr">
        <is>
          <t>A 38772-2025</t>
        </is>
      </c>
      <c r="B4314" s="1" t="n">
        <v>45887.42040509259</v>
      </c>
      <c r="C4314" s="1" t="n">
        <v>45962</v>
      </c>
      <c r="D4314" t="inlineStr">
        <is>
          <t>SKÅNE LÄN</t>
        </is>
      </c>
      <c r="E4314" t="inlineStr">
        <is>
          <t>ÖRKELLJUNGA</t>
        </is>
      </c>
      <c r="G4314" t="n">
        <v>4.3</v>
      </c>
      <c r="H4314" t="n">
        <v>0</v>
      </c>
      <c r="I4314" t="n">
        <v>0</v>
      </c>
      <c r="J4314" t="n">
        <v>0</v>
      </c>
      <c r="K4314" t="n">
        <v>0</v>
      </c>
      <c r="L4314" t="n">
        <v>0</v>
      </c>
      <c r="M4314" t="n">
        <v>0</v>
      </c>
      <c r="N4314" t="n">
        <v>0</v>
      </c>
      <c r="O4314" t="n">
        <v>0</v>
      </c>
      <c r="P4314" t="n">
        <v>0</v>
      </c>
      <c r="Q4314" t="n">
        <v>0</v>
      </c>
      <c r="R4314" s="2" t="inlineStr"/>
    </row>
    <row r="4315" ht="15" customHeight="1">
      <c r="A4315" t="inlineStr">
        <is>
          <t>A 38779-2025</t>
        </is>
      </c>
      <c r="B4315" s="1" t="n">
        <v>45887.4405787037</v>
      </c>
      <c r="C4315" s="1" t="n">
        <v>45962</v>
      </c>
      <c r="D4315" t="inlineStr">
        <is>
          <t>SKÅNE LÄN</t>
        </is>
      </c>
      <c r="E4315" t="inlineStr">
        <is>
          <t>KRISTIANSTAD</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38790-2025</t>
        </is>
      </c>
      <c r="B4316" s="1" t="n">
        <v>45887.44887731481</v>
      </c>
      <c r="C4316" s="1" t="n">
        <v>45962</v>
      </c>
      <c r="D4316" t="inlineStr">
        <is>
          <t>SKÅNE LÄN</t>
        </is>
      </c>
      <c r="E4316" t="inlineStr">
        <is>
          <t>KRISTIANSTAD</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36259-2025</t>
        </is>
      </c>
      <c r="B4317" s="1" t="n">
        <v>45867.59799768519</v>
      </c>
      <c r="C4317" s="1" t="n">
        <v>45962</v>
      </c>
      <c r="D4317" t="inlineStr">
        <is>
          <t>SKÅNE LÄN</t>
        </is>
      </c>
      <c r="E4317" t="inlineStr">
        <is>
          <t>HÄSSLEHOLM</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23310-2022</t>
        </is>
      </c>
      <c r="B4318" s="1" t="n">
        <v>44720.47737268519</v>
      </c>
      <c r="C4318" s="1" t="n">
        <v>45962</v>
      </c>
      <c r="D4318" t="inlineStr">
        <is>
          <t>SKÅNE LÄN</t>
        </is>
      </c>
      <c r="E4318" t="inlineStr">
        <is>
          <t>TOMELILLA</t>
        </is>
      </c>
      <c r="F4318" t="inlineStr">
        <is>
          <t>Övriga Aktiebolag</t>
        </is>
      </c>
      <c r="G4318" t="n">
        <v>5.3</v>
      </c>
      <c r="H4318" t="n">
        <v>0</v>
      </c>
      <c r="I4318" t="n">
        <v>0</v>
      </c>
      <c r="J4318" t="n">
        <v>0</v>
      </c>
      <c r="K4318" t="n">
        <v>0</v>
      </c>
      <c r="L4318" t="n">
        <v>0</v>
      </c>
      <c r="M4318" t="n">
        <v>0</v>
      </c>
      <c r="N4318" t="n">
        <v>0</v>
      </c>
      <c r="O4318" t="n">
        <v>0</v>
      </c>
      <c r="P4318" t="n">
        <v>0</v>
      </c>
      <c r="Q4318" t="n">
        <v>0</v>
      </c>
      <c r="R4318" s="2" t="inlineStr"/>
    </row>
    <row r="4319" ht="15" customHeight="1">
      <c r="A4319" t="inlineStr">
        <is>
          <t>A 53055-2021</t>
        </is>
      </c>
      <c r="B4319" s="1" t="n">
        <v>44467</v>
      </c>
      <c r="C4319" s="1" t="n">
        <v>45962</v>
      </c>
      <c r="D4319" t="inlineStr">
        <is>
          <t>SKÅNE LÄN</t>
        </is>
      </c>
      <c r="E4319" t="inlineStr">
        <is>
          <t>HÄSSLEHOLM</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46786-2025</t>
        </is>
      </c>
      <c r="B4320" s="1" t="n">
        <v>45926.64484953704</v>
      </c>
      <c r="C4320" s="1" t="n">
        <v>45962</v>
      </c>
      <c r="D4320" t="inlineStr">
        <is>
          <t>SKÅNE LÄN</t>
        </is>
      </c>
      <c r="E4320" t="inlineStr">
        <is>
          <t>HÄSSLEHOLM</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38849-2025</t>
        </is>
      </c>
      <c r="B4321" s="1" t="n">
        <v>45887</v>
      </c>
      <c r="C4321" s="1" t="n">
        <v>45962</v>
      </c>
      <c r="D4321" t="inlineStr">
        <is>
          <t>SKÅNE LÄN</t>
        </is>
      </c>
      <c r="E4321" t="inlineStr">
        <is>
          <t>KRISTIANSTAD</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36130-2025</t>
        </is>
      </c>
      <c r="B4322" s="1" t="n">
        <v>45866.62273148148</v>
      </c>
      <c r="C4322" s="1" t="n">
        <v>45962</v>
      </c>
      <c r="D4322" t="inlineStr">
        <is>
          <t>SKÅNE LÄN</t>
        </is>
      </c>
      <c r="E4322" t="inlineStr">
        <is>
          <t>HÄSSLEHOLM</t>
        </is>
      </c>
      <c r="G4322" t="n">
        <v>4.7</v>
      </c>
      <c r="H4322" t="n">
        <v>0</v>
      </c>
      <c r="I4322" t="n">
        <v>0</v>
      </c>
      <c r="J4322" t="n">
        <v>0</v>
      </c>
      <c r="K4322" t="n">
        <v>0</v>
      </c>
      <c r="L4322" t="n">
        <v>0</v>
      </c>
      <c r="M4322" t="n">
        <v>0</v>
      </c>
      <c r="N4322" t="n">
        <v>0</v>
      </c>
      <c r="O4322" t="n">
        <v>0</v>
      </c>
      <c r="P4322" t="n">
        <v>0</v>
      </c>
      <c r="Q4322" t="n">
        <v>0</v>
      </c>
      <c r="R4322" s="2" t="inlineStr"/>
    </row>
    <row r="4323" ht="15" customHeight="1">
      <c r="A4323" t="inlineStr">
        <is>
          <t>A 9840-2022</t>
        </is>
      </c>
      <c r="B4323" s="1" t="n">
        <v>44620</v>
      </c>
      <c r="C4323" s="1" t="n">
        <v>45962</v>
      </c>
      <c r="D4323" t="inlineStr">
        <is>
          <t>SKÅNE LÄN</t>
        </is>
      </c>
      <c r="E4323" t="inlineStr">
        <is>
          <t>OSBY</t>
        </is>
      </c>
      <c r="F4323" t="inlineStr">
        <is>
          <t>Kommuner</t>
        </is>
      </c>
      <c r="G4323" t="n">
        <v>5.9</v>
      </c>
      <c r="H4323" t="n">
        <v>0</v>
      </c>
      <c r="I4323" t="n">
        <v>0</v>
      </c>
      <c r="J4323" t="n">
        <v>0</v>
      </c>
      <c r="K4323" t="n">
        <v>0</v>
      </c>
      <c r="L4323" t="n">
        <v>0</v>
      </c>
      <c r="M4323" t="n">
        <v>0</v>
      </c>
      <c r="N4323" t="n">
        <v>0</v>
      </c>
      <c r="O4323" t="n">
        <v>0</v>
      </c>
      <c r="P4323" t="n">
        <v>0</v>
      </c>
      <c r="Q4323" t="n">
        <v>0</v>
      </c>
      <c r="R4323" s="2" t="inlineStr"/>
    </row>
    <row r="4324" ht="15" customHeight="1">
      <c r="A4324" t="inlineStr">
        <is>
          <t>A 23666-2023</t>
        </is>
      </c>
      <c r="B4324" s="1" t="n">
        <v>45077</v>
      </c>
      <c r="C4324" s="1" t="n">
        <v>45962</v>
      </c>
      <c r="D4324" t="inlineStr">
        <is>
          <t>SKÅNE LÄN</t>
        </is>
      </c>
      <c r="E4324" t="inlineStr">
        <is>
          <t>HÄSSLEHOLM</t>
        </is>
      </c>
      <c r="G4324" t="n">
        <v>0.5</v>
      </c>
      <c r="H4324" t="n">
        <v>0</v>
      </c>
      <c r="I4324" t="n">
        <v>0</v>
      </c>
      <c r="J4324" t="n">
        <v>0</v>
      </c>
      <c r="K4324" t="n">
        <v>0</v>
      </c>
      <c r="L4324" t="n">
        <v>0</v>
      </c>
      <c r="M4324" t="n">
        <v>0</v>
      </c>
      <c r="N4324" t="n">
        <v>0</v>
      </c>
      <c r="O4324" t="n">
        <v>0</v>
      </c>
      <c r="P4324" t="n">
        <v>0</v>
      </c>
      <c r="Q4324" t="n">
        <v>0</v>
      </c>
      <c r="R4324" s="2" t="inlineStr"/>
    </row>
    <row r="4325" ht="15" customHeight="1">
      <c r="A4325" t="inlineStr">
        <is>
          <t>A 23673-2023</t>
        </is>
      </c>
      <c r="B4325" s="1" t="n">
        <v>45077.59108796297</v>
      </c>
      <c r="C4325" s="1" t="n">
        <v>45962</v>
      </c>
      <c r="D4325" t="inlineStr">
        <is>
          <t>SKÅNE LÄN</t>
        </is>
      </c>
      <c r="E4325" t="inlineStr">
        <is>
          <t>KRISTIANSTAD</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23674-2023</t>
        </is>
      </c>
      <c r="B4326" s="1" t="n">
        <v>45077</v>
      </c>
      <c r="C4326" s="1" t="n">
        <v>45962</v>
      </c>
      <c r="D4326" t="inlineStr">
        <is>
          <t>SKÅNE LÄN</t>
        </is>
      </c>
      <c r="E4326" t="inlineStr">
        <is>
          <t>KRISTIANSTAD</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46761-2025</t>
        </is>
      </c>
      <c r="B4327" s="1" t="n">
        <v>45926.62289351852</v>
      </c>
      <c r="C4327" s="1" t="n">
        <v>45962</v>
      </c>
      <c r="D4327" t="inlineStr">
        <is>
          <t>SKÅNE LÄN</t>
        </is>
      </c>
      <c r="E4327" t="inlineStr">
        <is>
          <t>HÄSSLEHOLM</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38848-2025</t>
        </is>
      </c>
      <c r="B4328" s="1" t="n">
        <v>45887</v>
      </c>
      <c r="C4328" s="1" t="n">
        <v>45962</v>
      </c>
      <c r="D4328" t="inlineStr">
        <is>
          <t>SKÅNE LÄN</t>
        </is>
      </c>
      <c r="E4328" t="inlineStr">
        <is>
          <t>ÄNGELHOLM</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9709-2024</t>
        </is>
      </c>
      <c r="B4329" s="1" t="n">
        <v>45362.51869212963</v>
      </c>
      <c r="C4329" s="1" t="n">
        <v>45962</v>
      </c>
      <c r="D4329" t="inlineStr">
        <is>
          <t>SKÅNE LÄN</t>
        </is>
      </c>
      <c r="E4329" t="inlineStr">
        <is>
          <t>ÖSTRA GÖINGE</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33741-2024</t>
        </is>
      </c>
      <c r="B4330" s="1" t="n">
        <v>45520</v>
      </c>
      <c r="C4330" s="1" t="n">
        <v>45962</v>
      </c>
      <c r="D4330" t="inlineStr">
        <is>
          <t>SKÅNE LÄN</t>
        </is>
      </c>
      <c r="E4330" t="inlineStr">
        <is>
          <t>OSBY</t>
        </is>
      </c>
      <c r="G4330" t="n">
        <v>8.800000000000001</v>
      </c>
      <c r="H4330" t="n">
        <v>0</v>
      </c>
      <c r="I4330" t="n">
        <v>0</v>
      </c>
      <c r="J4330" t="n">
        <v>0</v>
      </c>
      <c r="K4330" t="n">
        <v>0</v>
      </c>
      <c r="L4330" t="n">
        <v>0</v>
      </c>
      <c r="M4330" t="n">
        <v>0</v>
      </c>
      <c r="N4330" t="n">
        <v>0</v>
      </c>
      <c r="O4330" t="n">
        <v>0</v>
      </c>
      <c r="P4330" t="n">
        <v>0</v>
      </c>
      <c r="Q4330" t="n">
        <v>0</v>
      </c>
      <c r="R4330" s="2" t="inlineStr"/>
    </row>
    <row r="4331" ht="15" customHeight="1">
      <c r="A4331" t="inlineStr">
        <is>
          <t>A 3726-2024</t>
        </is>
      </c>
      <c r="B4331" s="1" t="n">
        <v>45321</v>
      </c>
      <c r="C4331" s="1" t="n">
        <v>45962</v>
      </c>
      <c r="D4331" t="inlineStr">
        <is>
          <t>SKÅNE LÄN</t>
        </is>
      </c>
      <c r="E4331" t="inlineStr">
        <is>
          <t>HÄSSLEHOLM</t>
        </is>
      </c>
      <c r="G4331" t="n">
        <v>0.3</v>
      </c>
      <c r="H4331" t="n">
        <v>0</v>
      </c>
      <c r="I4331" t="n">
        <v>0</v>
      </c>
      <c r="J4331" t="n">
        <v>0</v>
      </c>
      <c r="K4331" t="n">
        <v>0</v>
      </c>
      <c r="L4331" t="n">
        <v>0</v>
      </c>
      <c r="M4331" t="n">
        <v>0</v>
      </c>
      <c r="N4331" t="n">
        <v>0</v>
      </c>
      <c r="O4331" t="n">
        <v>0</v>
      </c>
      <c r="P4331" t="n">
        <v>0</v>
      </c>
      <c r="Q4331" t="n">
        <v>0</v>
      </c>
      <c r="R4331" s="2" t="inlineStr"/>
    </row>
    <row r="4332" ht="15" customHeight="1">
      <c r="A4332" t="inlineStr">
        <is>
          <t>A 22120-2025</t>
        </is>
      </c>
      <c r="B4332" s="1" t="n">
        <v>45785.5165625</v>
      </c>
      <c r="C4332" s="1" t="n">
        <v>45962</v>
      </c>
      <c r="D4332" t="inlineStr">
        <is>
          <t>SKÅNE LÄN</t>
        </is>
      </c>
      <c r="E4332" t="inlineStr">
        <is>
          <t>KLIPPAN</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9290-2025</t>
        </is>
      </c>
      <c r="B4333" s="1" t="n">
        <v>45714</v>
      </c>
      <c r="C4333" s="1" t="n">
        <v>45962</v>
      </c>
      <c r="D4333" t="inlineStr">
        <is>
          <t>SKÅNE LÄN</t>
        </is>
      </c>
      <c r="E4333" t="inlineStr">
        <is>
          <t>KRISTIANSTAD</t>
        </is>
      </c>
      <c r="G4333" t="n">
        <v>4.6</v>
      </c>
      <c r="H4333" t="n">
        <v>0</v>
      </c>
      <c r="I4333" t="n">
        <v>0</v>
      </c>
      <c r="J4333" t="n">
        <v>0</v>
      </c>
      <c r="K4333" t="n">
        <v>0</v>
      </c>
      <c r="L4333" t="n">
        <v>0</v>
      </c>
      <c r="M4333" t="n">
        <v>0</v>
      </c>
      <c r="N4333" t="n">
        <v>0</v>
      </c>
      <c r="O4333" t="n">
        <v>0</v>
      </c>
      <c r="P4333" t="n">
        <v>0</v>
      </c>
      <c r="Q4333" t="n">
        <v>0</v>
      </c>
      <c r="R4333" s="2" t="inlineStr"/>
    </row>
    <row r="4334" ht="15" customHeight="1">
      <c r="A4334" t="inlineStr">
        <is>
          <t>A 53085-2022</t>
        </is>
      </c>
      <c r="B4334" s="1" t="n">
        <v>44873</v>
      </c>
      <c r="C4334" s="1" t="n">
        <v>45962</v>
      </c>
      <c r="D4334" t="inlineStr">
        <is>
          <t>SKÅNE LÄN</t>
        </is>
      </c>
      <c r="E4334" t="inlineStr">
        <is>
          <t>HÄSSLEHOLM</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48217-2022</t>
        </is>
      </c>
      <c r="B4335" s="1" t="n">
        <v>44853</v>
      </c>
      <c r="C4335" s="1" t="n">
        <v>45962</v>
      </c>
      <c r="D4335" t="inlineStr">
        <is>
          <t>SKÅNE LÄN</t>
        </is>
      </c>
      <c r="E4335" t="inlineStr">
        <is>
          <t>KRISTIANSTAD</t>
        </is>
      </c>
      <c r="F4335" t="inlineStr">
        <is>
          <t>Kyrkan</t>
        </is>
      </c>
      <c r="G4335" t="n">
        <v>1.3</v>
      </c>
      <c r="H4335" t="n">
        <v>0</v>
      </c>
      <c r="I4335" t="n">
        <v>0</v>
      </c>
      <c r="J4335" t="n">
        <v>0</v>
      </c>
      <c r="K4335" t="n">
        <v>0</v>
      </c>
      <c r="L4335" t="n">
        <v>0</v>
      </c>
      <c r="M4335" t="n">
        <v>0</v>
      </c>
      <c r="N4335" t="n">
        <v>0</v>
      </c>
      <c r="O4335" t="n">
        <v>0</v>
      </c>
      <c r="P4335" t="n">
        <v>0</v>
      </c>
      <c r="Q4335" t="n">
        <v>0</v>
      </c>
      <c r="R4335" s="2" t="inlineStr"/>
    </row>
    <row r="4336" ht="15" customHeight="1">
      <c r="A4336" t="inlineStr">
        <is>
          <t>A 38784-2025</t>
        </is>
      </c>
      <c r="B4336" s="1" t="n">
        <v>45887.4477662037</v>
      </c>
      <c r="C4336" s="1" t="n">
        <v>45962</v>
      </c>
      <c r="D4336" t="inlineStr">
        <is>
          <t>SKÅNE LÄN</t>
        </is>
      </c>
      <c r="E4336" t="inlineStr">
        <is>
          <t>KRISTIANSTAD</t>
        </is>
      </c>
      <c r="G4336" t="n">
        <v>12.9</v>
      </c>
      <c r="H4336" t="n">
        <v>0</v>
      </c>
      <c r="I4336" t="n">
        <v>0</v>
      </c>
      <c r="J4336" t="n">
        <v>0</v>
      </c>
      <c r="K4336" t="n">
        <v>0</v>
      </c>
      <c r="L4336" t="n">
        <v>0</v>
      </c>
      <c r="M4336" t="n">
        <v>0</v>
      </c>
      <c r="N4336" t="n">
        <v>0</v>
      </c>
      <c r="O4336" t="n">
        <v>0</v>
      </c>
      <c r="P4336" t="n">
        <v>0</v>
      </c>
      <c r="Q4336" t="n">
        <v>0</v>
      </c>
      <c r="R4336" s="2" t="inlineStr"/>
    </row>
    <row r="4337" ht="15" customHeight="1">
      <c r="A4337" t="inlineStr">
        <is>
          <t>A 17102-2025</t>
        </is>
      </c>
      <c r="B4337" s="1" t="n">
        <v>45755</v>
      </c>
      <c r="C4337" s="1" t="n">
        <v>45962</v>
      </c>
      <c r="D4337" t="inlineStr">
        <is>
          <t>SKÅNE LÄN</t>
        </is>
      </c>
      <c r="E4337" t="inlineStr">
        <is>
          <t>SIMRISHAMN</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28211-2022</t>
        </is>
      </c>
      <c r="B4338" s="1" t="n">
        <v>44746</v>
      </c>
      <c r="C4338" s="1" t="n">
        <v>45962</v>
      </c>
      <c r="D4338" t="inlineStr">
        <is>
          <t>SKÅNE LÄN</t>
        </is>
      </c>
      <c r="E4338" t="inlineStr">
        <is>
          <t>HÄSSLEHOLM</t>
        </is>
      </c>
      <c r="G4338" t="n">
        <v>2.8</v>
      </c>
      <c r="H4338" t="n">
        <v>0</v>
      </c>
      <c r="I4338" t="n">
        <v>0</v>
      </c>
      <c r="J4338" t="n">
        <v>0</v>
      </c>
      <c r="K4338" t="n">
        <v>0</v>
      </c>
      <c r="L4338" t="n">
        <v>0</v>
      </c>
      <c r="M4338" t="n">
        <v>0</v>
      </c>
      <c r="N4338" t="n">
        <v>0</v>
      </c>
      <c r="O4338" t="n">
        <v>0</v>
      </c>
      <c r="P4338" t="n">
        <v>0</v>
      </c>
      <c r="Q4338" t="n">
        <v>0</v>
      </c>
      <c r="R4338" s="2" t="inlineStr"/>
    </row>
    <row r="4339" ht="15" customHeight="1">
      <c r="A4339" t="inlineStr">
        <is>
          <t>A 42919-2024</t>
        </is>
      </c>
      <c r="B4339" s="1" t="n">
        <v>45566</v>
      </c>
      <c r="C4339" s="1" t="n">
        <v>45962</v>
      </c>
      <c r="D4339" t="inlineStr">
        <is>
          <t>SKÅNE LÄN</t>
        </is>
      </c>
      <c r="E4339" t="inlineStr">
        <is>
          <t>KRISTIANSTAD</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46793-2025</t>
        </is>
      </c>
      <c r="B4340" s="1" t="n">
        <v>45926.65568287037</v>
      </c>
      <c r="C4340" s="1" t="n">
        <v>45962</v>
      </c>
      <c r="D4340" t="inlineStr">
        <is>
          <t>SKÅNE LÄN</t>
        </is>
      </c>
      <c r="E4340" t="inlineStr">
        <is>
          <t>KRISTIANSTAD</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19420-2022</t>
        </is>
      </c>
      <c r="B4341" s="1" t="n">
        <v>44693</v>
      </c>
      <c r="C4341" s="1" t="n">
        <v>45962</v>
      </c>
      <c r="D4341" t="inlineStr">
        <is>
          <t>SKÅNE LÄN</t>
        </is>
      </c>
      <c r="E4341" t="inlineStr">
        <is>
          <t>HÖRBY</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34859-2021</t>
        </is>
      </c>
      <c r="B4342" s="1" t="n">
        <v>44382</v>
      </c>
      <c r="C4342" s="1" t="n">
        <v>45962</v>
      </c>
      <c r="D4342" t="inlineStr">
        <is>
          <t>SKÅNE LÄN</t>
        </is>
      </c>
      <c r="E4342" t="inlineStr">
        <is>
          <t>SVALÖV</t>
        </is>
      </c>
      <c r="G4342" t="n">
        <v>1.9</v>
      </c>
      <c r="H4342" t="n">
        <v>0</v>
      </c>
      <c r="I4342" t="n">
        <v>0</v>
      </c>
      <c r="J4342" t="n">
        <v>0</v>
      </c>
      <c r="K4342" t="n">
        <v>0</v>
      </c>
      <c r="L4342" t="n">
        <v>0</v>
      </c>
      <c r="M4342" t="n">
        <v>0</v>
      </c>
      <c r="N4342" t="n">
        <v>0</v>
      </c>
      <c r="O4342" t="n">
        <v>0</v>
      </c>
      <c r="P4342" t="n">
        <v>0</v>
      </c>
      <c r="Q4342" t="n">
        <v>0</v>
      </c>
      <c r="R4342" s="2" t="inlineStr"/>
    </row>
    <row r="4343" ht="15" customHeight="1">
      <c r="A4343" t="inlineStr">
        <is>
          <t>A 19666-2025</t>
        </is>
      </c>
      <c r="B4343" s="1" t="n">
        <v>45770.69326388889</v>
      </c>
      <c r="C4343" s="1" t="n">
        <v>45962</v>
      </c>
      <c r="D4343" t="inlineStr">
        <is>
          <t>SKÅNE LÄN</t>
        </is>
      </c>
      <c r="E4343" t="inlineStr">
        <is>
          <t>HÄSSLEHOLM</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30457-2025</t>
        </is>
      </c>
      <c r="B4344" s="1" t="n">
        <v>45827.68927083333</v>
      </c>
      <c r="C4344" s="1" t="n">
        <v>45962</v>
      </c>
      <c r="D4344" t="inlineStr">
        <is>
          <t>SKÅNE LÄN</t>
        </is>
      </c>
      <c r="E4344" t="inlineStr">
        <is>
          <t>KRISTIANSTAD</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10988-2023</t>
        </is>
      </c>
      <c r="B4345" s="1" t="n">
        <v>44991</v>
      </c>
      <c r="C4345" s="1" t="n">
        <v>45962</v>
      </c>
      <c r="D4345" t="inlineStr">
        <is>
          <t>SKÅNE LÄN</t>
        </is>
      </c>
      <c r="E4345" t="inlineStr">
        <is>
          <t>KRISTIANSTAD</t>
        </is>
      </c>
      <c r="G4345" t="n">
        <v>0.8</v>
      </c>
      <c r="H4345" t="n">
        <v>0</v>
      </c>
      <c r="I4345" t="n">
        <v>0</v>
      </c>
      <c r="J4345" t="n">
        <v>0</v>
      </c>
      <c r="K4345" t="n">
        <v>0</v>
      </c>
      <c r="L4345" t="n">
        <v>0</v>
      </c>
      <c r="M4345" t="n">
        <v>0</v>
      </c>
      <c r="N4345" t="n">
        <v>0</v>
      </c>
      <c r="O4345" t="n">
        <v>0</v>
      </c>
      <c r="P4345" t="n">
        <v>0</v>
      </c>
      <c r="Q4345" t="n">
        <v>0</v>
      </c>
      <c r="R4345" s="2" t="inlineStr"/>
    </row>
    <row r="4346" ht="15" customHeight="1">
      <c r="A4346" t="inlineStr">
        <is>
          <t>A 22292-2022</t>
        </is>
      </c>
      <c r="B4346" s="1" t="n">
        <v>44712</v>
      </c>
      <c r="C4346" s="1" t="n">
        <v>45962</v>
      </c>
      <c r="D4346" t="inlineStr">
        <is>
          <t>SKÅNE LÄN</t>
        </is>
      </c>
      <c r="E4346" t="inlineStr">
        <is>
          <t>KRISTIANSTAD</t>
        </is>
      </c>
      <c r="F4346" t="inlineStr">
        <is>
          <t>Övriga Aktiebolag</t>
        </is>
      </c>
      <c r="G4346" t="n">
        <v>19.5</v>
      </c>
      <c r="H4346" t="n">
        <v>0</v>
      </c>
      <c r="I4346" t="n">
        <v>0</v>
      </c>
      <c r="J4346" t="n">
        <v>0</v>
      </c>
      <c r="K4346" t="n">
        <v>0</v>
      </c>
      <c r="L4346" t="n">
        <v>0</v>
      </c>
      <c r="M4346" t="n">
        <v>0</v>
      </c>
      <c r="N4346" t="n">
        <v>0</v>
      </c>
      <c r="O4346" t="n">
        <v>0</v>
      </c>
      <c r="P4346" t="n">
        <v>0</v>
      </c>
      <c r="Q4346" t="n">
        <v>0</v>
      </c>
      <c r="R4346" s="2" t="inlineStr"/>
    </row>
    <row r="4347" ht="15" customHeight="1">
      <c r="A4347" t="inlineStr">
        <is>
          <t>A 33462-2025</t>
        </is>
      </c>
      <c r="B4347" s="1" t="n">
        <v>45841</v>
      </c>
      <c r="C4347" s="1" t="n">
        <v>45962</v>
      </c>
      <c r="D4347" t="inlineStr">
        <is>
          <t>SKÅNE LÄN</t>
        </is>
      </c>
      <c r="E4347" t="inlineStr">
        <is>
          <t>KLIPPAN</t>
        </is>
      </c>
      <c r="G4347" t="n">
        <v>1</v>
      </c>
      <c r="H4347" t="n">
        <v>0</v>
      </c>
      <c r="I4347" t="n">
        <v>0</v>
      </c>
      <c r="J4347" t="n">
        <v>0</v>
      </c>
      <c r="K4347" t="n">
        <v>0</v>
      </c>
      <c r="L4347" t="n">
        <v>0</v>
      </c>
      <c r="M4347" t="n">
        <v>0</v>
      </c>
      <c r="N4347" t="n">
        <v>0</v>
      </c>
      <c r="O4347" t="n">
        <v>0</v>
      </c>
      <c r="P4347" t="n">
        <v>0</v>
      </c>
      <c r="Q4347" t="n">
        <v>0</v>
      </c>
      <c r="R4347" s="2" t="inlineStr"/>
    </row>
    <row r="4348" ht="15" customHeight="1">
      <c r="A4348" t="inlineStr">
        <is>
          <t>A 59744-2020</t>
        </is>
      </c>
      <c r="B4348" s="1" t="n">
        <v>44151</v>
      </c>
      <c r="C4348" s="1" t="n">
        <v>45962</v>
      </c>
      <c r="D4348" t="inlineStr">
        <is>
          <t>SKÅNE LÄN</t>
        </is>
      </c>
      <c r="E4348" t="inlineStr">
        <is>
          <t>SVALÖV</t>
        </is>
      </c>
      <c r="G4348" t="n">
        <v>2.7</v>
      </c>
      <c r="H4348" t="n">
        <v>0</v>
      </c>
      <c r="I4348" t="n">
        <v>0</v>
      </c>
      <c r="J4348" t="n">
        <v>0</v>
      </c>
      <c r="K4348" t="n">
        <v>0</v>
      </c>
      <c r="L4348" t="n">
        <v>0</v>
      </c>
      <c r="M4348" t="n">
        <v>0</v>
      </c>
      <c r="N4348" t="n">
        <v>0</v>
      </c>
      <c r="O4348" t="n">
        <v>0</v>
      </c>
      <c r="P4348" t="n">
        <v>0</v>
      </c>
      <c r="Q4348" t="n">
        <v>0</v>
      </c>
      <c r="R4348" s="2" t="inlineStr"/>
    </row>
    <row r="4349" ht="15" customHeight="1">
      <c r="A4349" t="inlineStr">
        <is>
          <t>A 36359-2025</t>
        </is>
      </c>
      <c r="B4349" s="1" t="n">
        <v>45867</v>
      </c>
      <c r="C4349" s="1" t="n">
        <v>45962</v>
      </c>
      <c r="D4349" t="inlineStr">
        <is>
          <t>SKÅNE LÄN</t>
        </is>
      </c>
      <c r="E4349" t="inlineStr">
        <is>
          <t>HÄSSLEHOLM</t>
        </is>
      </c>
      <c r="G4349" t="n">
        <v>2.2</v>
      </c>
      <c r="H4349" t="n">
        <v>0</v>
      </c>
      <c r="I4349" t="n">
        <v>0</v>
      </c>
      <c r="J4349" t="n">
        <v>0</v>
      </c>
      <c r="K4349" t="n">
        <v>0</v>
      </c>
      <c r="L4349" t="n">
        <v>0</v>
      </c>
      <c r="M4349" t="n">
        <v>0</v>
      </c>
      <c r="N4349" t="n">
        <v>0</v>
      </c>
      <c r="O4349" t="n">
        <v>0</v>
      </c>
      <c r="P4349" t="n">
        <v>0</v>
      </c>
      <c r="Q4349" t="n">
        <v>0</v>
      </c>
      <c r="R4349" s="2" t="inlineStr"/>
    </row>
    <row r="4350" ht="15" customHeight="1">
      <c r="A4350" t="inlineStr">
        <is>
          <t>A 36361-2025</t>
        </is>
      </c>
      <c r="B4350" s="1" t="n">
        <v>45867</v>
      </c>
      <c r="C4350" s="1" t="n">
        <v>45962</v>
      </c>
      <c r="D4350" t="inlineStr">
        <is>
          <t>SKÅNE LÄN</t>
        </is>
      </c>
      <c r="E4350" t="inlineStr">
        <is>
          <t>HÄSSLEHOLM</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2092-2023</t>
        </is>
      </c>
      <c r="B4351" s="1" t="n">
        <v>44939</v>
      </c>
      <c r="C4351" s="1" t="n">
        <v>45962</v>
      </c>
      <c r="D4351" t="inlineStr">
        <is>
          <t>SKÅNE LÄN</t>
        </is>
      </c>
      <c r="E4351" t="inlineStr">
        <is>
          <t>ÖRKELLJUNGA</t>
        </is>
      </c>
      <c r="G4351" t="n">
        <v>0.6</v>
      </c>
      <c r="H4351" t="n">
        <v>0</v>
      </c>
      <c r="I4351" t="n">
        <v>0</v>
      </c>
      <c r="J4351" t="n">
        <v>0</v>
      </c>
      <c r="K4351" t="n">
        <v>0</v>
      </c>
      <c r="L4351" t="n">
        <v>0</v>
      </c>
      <c r="M4351" t="n">
        <v>0</v>
      </c>
      <c r="N4351" t="n">
        <v>0</v>
      </c>
      <c r="O4351" t="n">
        <v>0</v>
      </c>
      <c r="P4351" t="n">
        <v>0</v>
      </c>
      <c r="Q4351" t="n">
        <v>0</v>
      </c>
      <c r="R4351" s="2" t="inlineStr"/>
    </row>
    <row r="4352" ht="15" customHeight="1">
      <c r="A4352" t="inlineStr">
        <is>
          <t>A 32154-2024</t>
        </is>
      </c>
      <c r="B4352" s="1" t="n">
        <v>45511</v>
      </c>
      <c r="C4352" s="1" t="n">
        <v>45962</v>
      </c>
      <c r="D4352" t="inlineStr">
        <is>
          <t>SKÅNE LÄN</t>
        </is>
      </c>
      <c r="E4352" t="inlineStr">
        <is>
          <t>HÄSSLEHOLM</t>
        </is>
      </c>
      <c r="G4352" t="n">
        <v>6.4</v>
      </c>
      <c r="H4352" t="n">
        <v>0</v>
      </c>
      <c r="I4352" t="n">
        <v>0</v>
      </c>
      <c r="J4352" t="n">
        <v>0</v>
      </c>
      <c r="K4352" t="n">
        <v>0</v>
      </c>
      <c r="L4352" t="n">
        <v>0</v>
      </c>
      <c r="M4352" t="n">
        <v>0</v>
      </c>
      <c r="N4352" t="n">
        <v>0</v>
      </c>
      <c r="O4352" t="n">
        <v>0</v>
      </c>
      <c r="P4352" t="n">
        <v>0</v>
      </c>
      <c r="Q4352" t="n">
        <v>0</v>
      </c>
      <c r="R4352" s="2" t="inlineStr"/>
    </row>
    <row r="4353" ht="15" customHeight="1">
      <c r="A4353" t="inlineStr">
        <is>
          <t>A 44430-2024</t>
        </is>
      </c>
      <c r="B4353" s="1" t="n">
        <v>45573.97584490741</v>
      </c>
      <c r="C4353" s="1" t="n">
        <v>45962</v>
      </c>
      <c r="D4353" t="inlineStr">
        <is>
          <t>SKÅNE LÄN</t>
        </is>
      </c>
      <c r="E4353" t="inlineStr">
        <is>
          <t>OSBY</t>
        </is>
      </c>
      <c r="G4353" t="n">
        <v>0.1</v>
      </c>
      <c r="H4353" t="n">
        <v>0</v>
      </c>
      <c r="I4353" t="n">
        <v>0</v>
      </c>
      <c r="J4353" t="n">
        <v>0</v>
      </c>
      <c r="K4353" t="n">
        <v>0</v>
      </c>
      <c r="L4353" t="n">
        <v>0</v>
      </c>
      <c r="M4353" t="n">
        <v>0</v>
      </c>
      <c r="N4353" t="n">
        <v>0</v>
      </c>
      <c r="O4353" t="n">
        <v>0</v>
      </c>
      <c r="P4353" t="n">
        <v>0</v>
      </c>
      <c r="Q4353" t="n">
        <v>0</v>
      </c>
      <c r="R4353" s="2" t="inlineStr"/>
    </row>
    <row r="4354" ht="15" customHeight="1">
      <c r="A4354" t="inlineStr">
        <is>
          <t>A 38857-2025</t>
        </is>
      </c>
      <c r="B4354" s="1" t="n">
        <v>45887.55858796297</v>
      </c>
      <c r="C4354" s="1" t="n">
        <v>45962</v>
      </c>
      <c r="D4354" t="inlineStr">
        <is>
          <t>SKÅNE LÄN</t>
        </is>
      </c>
      <c r="E4354" t="inlineStr">
        <is>
          <t>ÖRKELLJUNGA</t>
        </is>
      </c>
      <c r="G4354" t="n">
        <v>1.9</v>
      </c>
      <c r="H4354" t="n">
        <v>0</v>
      </c>
      <c r="I4354" t="n">
        <v>0</v>
      </c>
      <c r="J4354" t="n">
        <v>0</v>
      </c>
      <c r="K4354" t="n">
        <v>0</v>
      </c>
      <c r="L4354" t="n">
        <v>0</v>
      </c>
      <c r="M4354" t="n">
        <v>0</v>
      </c>
      <c r="N4354" t="n">
        <v>0</v>
      </c>
      <c r="O4354" t="n">
        <v>0</v>
      </c>
      <c r="P4354" t="n">
        <v>0</v>
      </c>
      <c r="Q4354" t="n">
        <v>0</v>
      </c>
      <c r="R4354" s="2" t="inlineStr"/>
    </row>
    <row r="4355" ht="15" customHeight="1">
      <c r="A4355" t="inlineStr">
        <is>
          <t>A 6261-2024</t>
        </is>
      </c>
      <c r="B4355" s="1" t="n">
        <v>45337</v>
      </c>
      <c r="C4355" s="1" t="n">
        <v>45962</v>
      </c>
      <c r="D4355" t="inlineStr">
        <is>
          <t>SKÅNE LÄN</t>
        </is>
      </c>
      <c r="E4355" t="inlineStr">
        <is>
          <t>TOMELILLA</t>
        </is>
      </c>
      <c r="G4355" t="n">
        <v>12.6</v>
      </c>
      <c r="H4355" t="n">
        <v>0</v>
      </c>
      <c r="I4355" t="n">
        <v>0</v>
      </c>
      <c r="J4355" t="n">
        <v>0</v>
      </c>
      <c r="K4355" t="n">
        <v>0</v>
      </c>
      <c r="L4355" t="n">
        <v>0</v>
      </c>
      <c r="M4355" t="n">
        <v>0</v>
      </c>
      <c r="N4355" t="n">
        <v>0</v>
      </c>
      <c r="O4355" t="n">
        <v>0</v>
      </c>
      <c r="P4355" t="n">
        <v>0</v>
      </c>
      <c r="Q4355" t="n">
        <v>0</v>
      </c>
      <c r="R4355" s="2" t="inlineStr"/>
    </row>
    <row r="4356" ht="15" customHeight="1">
      <c r="A4356" t="inlineStr">
        <is>
          <t>A 36085-2025</t>
        </is>
      </c>
      <c r="B4356" s="1" t="n">
        <v>45866.46190972222</v>
      </c>
      <c r="C4356" s="1" t="n">
        <v>45962</v>
      </c>
      <c r="D4356" t="inlineStr">
        <is>
          <t>SKÅNE LÄN</t>
        </is>
      </c>
      <c r="E4356" t="inlineStr">
        <is>
          <t>HÄSSLEHOLM</t>
        </is>
      </c>
      <c r="G4356" t="n">
        <v>0.9</v>
      </c>
      <c r="H4356" t="n">
        <v>0</v>
      </c>
      <c r="I4356" t="n">
        <v>0</v>
      </c>
      <c r="J4356" t="n">
        <v>0</v>
      </c>
      <c r="K4356" t="n">
        <v>0</v>
      </c>
      <c r="L4356" t="n">
        <v>0</v>
      </c>
      <c r="M4356" t="n">
        <v>0</v>
      </c>
      <c r="N4356" t="n">
        <v>0</v>
      </c>
      <c r="O4356" t="n">
        <v>0</v>
      </c>
      <c r="P4356" t="n">
        <v>0</v>
      </c>
      <c r="Q4356" t="n">
        <v>0</v>
      </c>
      <c r="R4356" s="2" t="inlineStr"/>
    </row>
    <row r="4357" ht="15" customHeight="1">
      <c r="A4357" t="inlineStr">
        <is>
          <t>A 36267-2025</t>
        </is>
      </c>
      <c r="B4357" s="1" t="n">
        <v>45867.6165625</v>
      </c>
      <c r="C4357" s="1" t="n">
        <v>45962</v>
      </c>
      <c r="D4357" t="inlineStr">
        <is>
          <t>SKÅNE LÄN</t>
        </is>
      </c>
      <c r="E4357" t="inlineStr">
        <is>
          <t>OSBY</t>
        </is>
      </c>
      <c r="G4357" t="n">
        <v>2.7</v>
      </c>
      <c r="H4357" t="n">
        <v>0</v>
      </c>
      <c r="I4357" t="n">
        <v>0</v>
      </c>
      <c r="J4357" t="n">
        <v>0</v>
      </c>
      <c r="K4357" t="n">
        <v>0</v>
      </c>
      <c r="L4357" t="n">
        <v>0</v>
      </c>
      <c r="M4357" t="n">
        <v>0</v>
      </c>
      <c r="N4357" t="n">
        <v>0</v>
      </c>
      <c r="O4357" t="n">
        <v>0</v>
      </c>
      <c r="P4357" t="n">
        <v>0</v>
      </c>
      <c r="Q4357" t="n">
        <v>0</v>
      </c>
      <c r="R4357" s="2" t="inlineStr"/>
    </row>
    <row r="4358" ht="15" customHeight="1">
      <c r="A4358" t="inlineStr">
        <is>
          <t>A 15957-2023</t>
        </is>
      </c>
      <c r="B4358" s="1" t="n">
        <v>45022</v>
      </c>
      <c r="C4358" s="1" t="n">
        <v>45962</v>
      </c>
      <c r="D4358" t="inlineStr">
        <is>
          <t>SKÅNE LÄN</t>
        </is>
      </c>
      <c r="E4358" t="inlineStr">
        <is>
          <t>KRISTIANSTAD</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15990-2023</t>
        </is>
      </c>
      <c r="B4359" s="1" t="n">
        <v>45023.39584490741</v>
      </c>
      <c r="C4359" s="1" t="n">
        <v>45962</v>
      </c>
      <c r="D4359" t="inlineStr">
        <is>
          <t>SKÅNE LÄN</t>
        </is>
      </c>
      <c r="E4359" t="inlineStr">
        <is>
          <t>HÄSSLEHOLM</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26207-2021</t>
        </is>
      </c>
      <c r="B4360" s="1" t="n">
        <v>44347</v>
      </c>
      <c r="C4360" s="1" t="n">
        <v>45962</v>
      </c>
      <c r="D4360" t="inlineStr">
        <is>
          <t>SKÅNE LÄN</t>
        </is>
      </c>
      <c r="E4360" t="inlineStr">
        <is>
          <t>HÄSSLEHOLM</t>
        </is>
      </c>
      <c r="G4360" t="n">
        <v>0.5</v>
      </c>
      <c r="H4360" t="n">
        <v>0</v>
      </c>
      <c r="I4360" t="n">
        <v>0</v>
      </c>
      <c r="J4360" t="n">
        <v>0</v>
      </c>
      <c r="K4360" t="n">
        <v>0</v>
      </c>
      <c r="L4360" t="n">
        <v>0</v>
      </c>
      <c r="M4360" t="n">
        <v>0</v>
      </c>
      <c r="N4360" t="n">
        <v>0</v>
      </c>
      <c r="O4360" t="n">
        <v>0</v>
      </c>
      <c r="P4360" t="n">
        <v>0</v>
      </c>
      <c r="Q4360" t="n">
        <v>0</v>
      </c>
      <c r="R4360" s="2" t="inlineStr"/>
    </row>
    <row r="4361" ht="15" customHeight="1">
      <c r="A4361" t="inlineStr">
        <is>
          <t>A 38697-2025</t>
        </is>
      </c>
      <c r="B4361" s="1" t="n">
        <v>45884.76268518518</v>
      </c>
      <c r="C4361" s="1" t="n">
        <v>45962</v>
      </c>
      <c r="D4361" t="inlineStr">
        <is>
          <t>SKÅNE LÄN</t>
        </is>
      </c>
      <c r="E4361" t="inlineStr">
        <is>
          <t>OSBY</t>
        </is>
      </c>
      <c r="G4361" t="n">
        <v>3.7</v>
      </c>
      <c r="H4361" t="n">
        <v>0</v>
      </c>
      <c r="I4361" t="n">
        <v>0</v>
      </c>
      <c r="J4361" t="n">
        <v>0</v>
      </c>
      <c r="K4361" t="n">
        <v>0</v>
      </c>
      <c r="L4361" t="n">
        <v>0</v>
      </c>
      <c r="M4361" t="n">
        <v>0</v>
      </c>
      <c r="N4361" t="n">
        <v>0</v>
      </c>
      <c r="O4361" t="n">
        <v>0</v>
      </c>
      <c r="P4361" t="n">
        <v>0</v>
      </c>
      <c r="Q4361" t="n">
        <v>0</v>
      </c>
      <c r="R4361" s="2" t="inlineStr"/>
    </row>
    <row r="4362" ht="15" customHeight="1">
      <c r="A4362" t="inlineStr">
        <is>
          <t>A 36358-2025</t>
        </is>
      </c>
      <c r="B4362" s="1" t="n">
        <v>45867</v>
      </c>
      <c r="C4362" s="1" t="n">
        <v>45962</v>
      </c>
      <c r="D4362" t="inlineStr">
        <is>
          <t>SKÅNE LÄN</t>
        </is>
      </c>
      <c r="E4362" t="inlineStr">
        <is>
          <t>HÄSSLEHOLM</t>
        </is>
      </c>
      <c r="G4362" t="n">
        <v>2.8</v>
      </c>
      <c r="H4362" t="n">
        <v>0</v>
      </c>
      <c r="I4362" t="n">
        <v>0</v>
      </c>
      <c r="J4362" t="n">
        <v>0</v>
      </c>
      <c r="K4362" t="n">
        <v>0</v>
      </c>
      <c r="L4362" t="n">
        <v>0</v>
      </c>
      <c r="M4362" t="n">
        <v>0</v>
      </c>
      <c r="N4362" t="n">
        <v>0</v>
      </c>
      <c r="O4362" t="n">
        <v>0</v>
      </c>
      <c r="P4362" t="n">
        <v>0</v>
      </c>
      <c r="Q4362" t="n">
        <v>0</v>
      </c>
      <c r="R4362" s="2" t="inlineStr"/>
    </row>
    <row r="4363" ht="15" customHeight="1">
      <c r="A4363" t="inlineStr">
        <is>
          <t>A 21023-2024</t>
        </is>
      </c>
      <c r="B4363" s="1" t="n">
        <v>45439.64483796297</v>
      </c>
      <c r="C4363" s="1" t="n">
        <v>45962</v>
      </c>
      <c r="D4363" t="inlineStr">
        <is>
          <t>SKÅNE LÄN</t>
        </is>
      </c>
      <c r="E4363" t="inlineStr">
        <is>
          <t>ÖRKELLJUNGA</t>
        </is>
      </c>
      <c r="G4363" t="n">
        <v>0.5</v>
      </c>
      <c r="H4363" t="n">
        <v>0</v>
      </c>
      <c r="I4363" t="n">
        <v>0</v>
      </c>
      <c r="J4363" t="n">
        <v>0</v>
      </c>
      <c r="K4363" t="n">
        <v>0</v>
      </c>
      <c r="L4363" t="n">
        <v>0</v>
      </c>
      <c r="M4363" t="n">
        <v>0</v>
      </c>
      <c r="N4363" t="n">
        <v>0</v>
      </c>
      <c r="O4363" t="n">
        <v>0</v>
      </c>
      <c r="P4363" t="n">
        <v>0</v>
      </c>
      <c r="Q4363" t="n">
        <v>0</v>
      </c>
      <c r="R4363" s="2" t="inlineStr"/>
    </row>
    <row r="4364" ht="15" customHeight="1">
      <c r="A4364" t="inlineStr">
        <is>
          <t>A 62180-2022</t>
        </is>
      </c>
      <c r="B4364" s="1" t="n">
        <v>44915</v>
      </c>
      <c r="C4364" s="1" t="n">
        <v>45962</v>
      </c>
      <c r="D4364" t="inlineStr">
        <is>
          <t>SKÅNE LÄN</t>
        </is>
      </c>
      <c r="E4364" t="inlineStr">
        <is>
          <t>ÖRKELLJUNGA</t>
        </is>
      </c>
      <c r="F4364" t="inlineStr">
        <is>
          <t>Kyrkan</t>
        </is>
      </c>
      <c r="G4364" t="n">
        <v>7.5</v>
      </c>
      <c r="H4364" t="n">
        <v>0</v>
      </c>
      <c r="I4364" t="n">
        <v>0</v>
      </c>
      <c r="J4364" t="n">
        <v>0</v>
      </c>
      <c r="K4364" t="n">
        <v>0</v>
      </c>
      <c r="L4364" t="n">
        <v>0</v>
      </c>
      <c r="M4364" t="n">
        <v>0</v>
      </c>
      <c r="N4364" t="n">
        <v>0</v>
      </c>
      <c r="O4364" t="n">
        <v>0</v>
      </c>
      <c r="P4364" t="n">
        <v>0</v>
      </c>
      <c r="Q4364" t="n">
        <v>0</v>
      </c>
      <c r="R4364" s="2" t="inlineStr"/>
    </row>
    <row r="4365" ht="15" customHeight="1">
      <c r="A4365" t="inlineStr">
        <is>
          <t>A 62181-2022</t>
        </is>
      </c>
      <c r="B4365" s="1" t="n">
        <v>44915</v>
      </c>
      <c r="C4365" s="1" t="n">
        <v>45962</v>
      </c>
      <c r="D4365" t="inlineStr">
        <is>
          <t>SKÅNE LÄN</t>
        </is>
      </c>
      <c r="E4365" t="inlineStr">
        <is>
          <t>ÖRKELLJUNGA</t>
        </is>
      </c>
      <c r="F4365" t="inlineStr">
        <is>
          <t>Kyrkan</t>
        </is>
      </c>
      <c r="G4365" t="n">
        <v>6.4</v>
      </c>
      <c r="H4365" t="n">
        <v>0</v>
      </c>
      <c r="I4365" t="n">
        <v>0</v>
      </c>
      <c r="J4365" t="n">
        <v>0</v>
      </c>
      <c r="K4365" t="n">
        <v>0</v>
      </c>
      <c r="L4365" t="n">
        <v>0</v>
      </c>
      <c r="M4365" t="n">
        <v>0</v>
      </c>
      <c r="N4365" t="n">
        <v>0</v>
      </c>
      <c r="O4365" t="n">
        <v>0</v>
      </c>
      <c r="P4365" t="n">
        <v>0</v>
      </c>
      <c r="Q4365" t="n">
        <v>0</v>
      </c>
      <c r="R4365" s="2" t="inlineStr"/>
    </row>
    <row r="4366" ht="15" customHeight="1">
      <c r="A4366" t="inlineStr">
        <is>
          <t>A 62199-2022</t>
        </is>
      </c>
      <c r="B4366" s="1" t="n">
        <v>44915</v>
      </c>
      <c r="C4366" s="1" t="n">
        <v>45962</v>
      </c>
      <c r="D4366" t="inlineStr">
        <is>
          <t>SKÅNE LÄN</t>
        </is>
      </c>
      <c r="E4366" t="inlineStr">
        <is>
          <t>HÄSSLEHOLM</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4044-2021</t>
        </is>
      </c>
      <c r="B4367" s="1" t="n">
        <v>44222</v>
      </c>
      <c r="C4367" s="1" t="n">
        <v>45962</v>
      </c>
      <c r="D4367" t="inlineStr">
        <is>
          <t>SKÅNE LÄN</t>
        </is>
      </c>
      <c r="E4367" t="inlineStr">
        <is>
          <t>HÖRBY</t>
        </is>
      </c>
      <c r="G4367" t="n">
        <v>2.7</v>
      </c>
      <c r="H4367" t="n">
        <v>0</v>
      </c>
      <c r="I4367" t="n">
        <v>0</v>
      </c>
      <c r="J4367" t="n">
        <v>0</v>
      </c>
      <c r="K4367" t="n">
        <v>0</v>
      </c>
      <c r="L4367" t="n">
        <v>0</v>
      </c>
      <c r="M4367" t="n">
        <v>0</v>
      </c>
      <c r="N4367" t="n">
        <v>0</v>
      </c>
      <c r="O4367" t="n">
        <v>0</v>
      </c>
      <c r="P4367" t="n">
        <v>0</v>
      </c>
      <c r="Q4367" t="n">
        <v>0</v>
      </c>
      <c r="R4367" s="2" t="inlineStr"/>
    </row>
    <row r="4368" ht="15" customHeight="1">
      <c r="A4368" t="inlineStr">
        <is>
          <t>A 36355-2025</t>
        </is>
      </c>
      <c r="B4368" s="1" t="n">
        <v>45868.50842592592</v>
      </c>
      <c r="C4368" s="1" t="n">
        <v>45962</v>
      </c>
      <c r="D4368" t="inlineStr">
        <is>
          <t>SKÅNE LÄN</t>
        </is>
      </c>
      <c r="E4368" t="inlineStr">
        <is>
          <t>HÖRBY</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57017-2020</t>
        </is>
      </c>
      <c r="B4369" s="1" t="n">
        <v>44138</v>
      </c>
      <c r="C4369" s="1" t="n">
        <v>45962</v>
      </c>
      <c r="D4369" t="inlineStr">
        <is>
          <t>SKÅNE LÄN</t>
        </is>
      </c>
      <c r="E4369" t="inlineStr">
        <is>
          <t>ÖSTRA GÖINGE</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9098-2022</t>
        </is>
      </c>
      <c r="B4370" s="1" t="n">
        <v>44615</v>
      </c>
      <c r="C4370" s="1" t="n">
        <v>45962</v>
      </c>
      <c r="D4370" t="inlineStr">
        <is>
          <t>SKÅNE LÄN</t>
        </is>
      </c>
      <c r="E4370" t="inlineStr">
        <is>
          <t>HÄSSLEHOLM</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19151-2023</t>
        </is>
      </c>
      <c r="B4371" s="1" t="n">
        <v>45044</v>
      </c>
      <c r="C4371" s="1" t="n">
        <v>45962</v>
      </c>
      <c r="D4371" t="inlineStr">
        <is>
          <t>SKÅNE LÄN</t>
        </is>
      </c>
      <c r="E4371" t="inlineStr">
        <is>
          <t>HÄSSLEHOLM</t>
        </is>
      </c>
      <c r="G4371" t="n">
        <v>1</v>
      </c>
      <c r="H4371" t="n">
        <v>0</v>
      </c>
      <c r="I4371" t="n">
        <v>0</v>
      </c>
      <c r="J4371" t="n">
        <v>0</v>
      </c>
      <c r="K4371" t="n">
        <v>0</v>
      </c>
      <c r="L4371" t="n">
        <v>0</v>
      </c>
      <c r="M4371" t="n">
        <v>0</v>
      </c>
      <c r="N4371" t="n">
        <v>0</v>
      </c>
      <c r="O4371" t="n">
        <v>0</v>
      </c>
      <c r="P4371" t="n">
        <v>0</v>
      </c>
      <c r="Q4371" t="n">
        <v>0</v>
      </c>
      <c r="R4371" s="2" t="inlineStr"/>
    </row>
    <row r="4372" ht="15" customHeight="1">
      <c r="A4372" t="inlineStr">
        <is>
          <t>A 6791-2021</t>
        </is>
      </c>
      <c r="B4372" s="1" t="n">
        <v>44236</v>
      </c>
      <c r="C4372" s="1" t="n">
        <v>45962</v>
      </c>
      <c r="D4372" t="inlineStr">
        <is>
          <t>SKÅNE LÄN</t>
        </is>
      </c>
      <c r="E4372" t="inlineStr">
        <is>
          <t>HÄSSLEHOLM</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1280-2023</t>
        </is>
      </c>
      <c r="B4373" s="1" t="n">
        <v>44936</v>
      </c>
      <c r="C4373" s="1" t="n">
        <v>45962</v>
      </c>
      <c r="D4373" t="inlineStr">
        <is>
          <t>SKÅNE LÄN</t>
        </is>
      </c>
      <c r="E4373" t="inlineStr">
        <is>
          <t>KLIPPAN</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1445-2021</t>
        </is>
      </c>
      <c r="B4374" s="1" t="n">
        <v>44208</v>
      </c>
      <c r="C4374" s="1" t="n">
        <v>45962</v>
      </c>
      <c r="D4374" t="inlineStr">
        <is>
          <t>SKÅNE LÄN</t>
        </is>
      </c>
      <c r="E4374" t="inlineStr">
        <is>
          <t>HÄSSLEHOLM</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50330-2023</t>
        </is>
      </c>
      <c r="B4375" s="1" t="n">
        <v>45216</v>
      </c>
      <c r="C4375" s="1" t="n">
        <v>45962</v>
      </c>
      <c r="D4375" t="inlineStr">
        <is>
          <t>SKÅNE LÄN</t>
        </is>
      </c>
      <c r="E4375" t="inlineStr">
        <is>
          <t>HÖÖR</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50332-2023</t>
        </is>
      </c>
      <c r="B4376" s="1" t="n">
        <v>45216.56113425926</v>
      </c>
      <c r="C4376" s="1" t="n">
        <v>45962</v>
      </c>
      <c r="D4376" t="inlineStr">
        <is>
          <t>SKÅNE LÄN</t>
        </is>
      </c>
      <c r="E4376" t="inlineStr">
        <is>
          <t>HÖÖR</t>
        </is>
      </c>
      <c r="G4376" t="n">
        <v>0.9</v>
      </c>
      <c r="H4376" t="n">
        <v>0</v>
      </c>
      <c r="I4376" t="n">
        <v>0</v>
      </c>
      <c r="J4376" t="n">
        <v>0</v>
      </c>
      <c r="K4376" t="n">
        <v>0</v>
      </c>
      <c r="L4376" t="n">
        <v>0</v>
      </c>
      <c r="M4376" t="n">
        <v>0</v>
      </c>
      <c r="N4376" t="n">
        <v>0</v>
      </c>
      <c r="O4376" t="n">
        <v>0</v>
      </c>
      <c r="P4376" t="n">
        <v>0</v>
      </c>
      <c r="Q4376" t="n">
        <v>0</v>
      </c>
      <c r="R4376" s="2" t="inlineStr"/>
    </row>
    <row r="4377" ht="15" customHeight="1">
      <c r="A4377" t="inlineStr">
        <is>
          <t>A 36347-2025</t>
        </is>
      </c>
      <c r="B4377" s="1" t="n">
        <v>45868.47796296296</v>
      </c>
      <c r="C4377" s="1" t="n">
        <v>45962</v>
      </c>
      <c r="D4377" t="inlineStr">
        <is>
          <t>SKÅNE LÄN</t>
        </is>
      </c>
      <c r="E4377" t="inlineStr">
        <is>
          <t>SJÖBO</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36362-2025</t>
        </is>
      </c>
      <c r="B4378" s="1" t="n">
        <v>45868.5252662037</v>
      </c>
      <c r="C4378" s="1" t="n">
        <v>45962</v>
      </c>
      <c r="D4378" t="inlineStr">
        <is>
          <t>SKÅNE LÄN</t>
        </is>
      </c>
      <c r="E4378" t="inlineStr">
        <is>
          <t>HÖRBY</t>
        </is>
      </c>
      <c r="G4378" t="n">
        <v>3.7</v>
      </c>
      <c r="H4378" t="n">
        <v>0</v>
      </c>
      <c r="I4378" t="n">
        <v>0</v>
      </c>
      <c r="J4378" t="n">
        <v>0</v>
      </c>
      <c r="K4378" t="n">
        <v>0</v>
      </c>
      <c r="L4378" t="n">
        <v>0</v>
      </c>
      <c r="M4378" t="n">
        <v>0</v>
      </c>
      <c r="N4378" t="n">
        <v>0</v>
      </c>
      <c r="O4378" t="n">
        <v>0</v>
      </c>
      <c r="P4378" t="n">
        <v>0</v>
      </c>
      <c r="Q4378" t="n">
        <v>0</v>
      </c>
      <c r="R4378" s="2" t="inlineStr"/>
    </row>
    <row r="4379" ht="15" customHeight="1">
      <c r="A4379" t="inlineStr">
        <is>
          <t>A 20591-2023</t>
        </is>
      </c>
      <c r="B4379" s="1" t="n">
        <v>45055</v>
      </c>
      <c r="C4379" s="1" t="n">
        <v>45962</v>
      </c>
      <c r="D4379" t="inlineStr">
        <is>
          <t>SKÅNE LÄN</t>
        </is>
      </c>
      <c r="E4379" t="inlineStr">
        <is>
          <t>KLIPPAN</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52851-2024</t>
        </is>
      </c>
      <c r="B4380" s="1" t="n">
        <v>45610</v>
      </c>
      <c r="C4380" s="1" t="n">
        <v>45962</v>
      </c>
      <c r="D4380" t="inlineStr">
        <is>
          <t>SKÅNE LÄN</t>
        </is>
      </c>
      <c r="E4380" t="inlineStr">
        <is>
          <t>KLIPPAN</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36086-2025</t>
        </is>
      </c>
      <c r="B4381" s="1" t="n">
        <v>45866</v>
      </c>
      <c r="C4381" s="1" t="n">
        <v>45962</v>
      </c>
      <c r="D4381" t="inlineStr">
        <is>
          <t>SKÅNE LÄN</t>
        </is>
      </c>
      <c r="E4381" t="inlineStr">
        <is>
          <t>BROMÖLLA</t>
        </is>
      </c>
      <c r="G4381" t="n">
        <v>2.9</v>
      </c>
      <c r="H4381" t="n">
        <v>0</v>
      </c>
      <c r="I4381" t="n">
        <v>0</v>
      </c>
      <c r="J4381" t="n">
        <v>0</v>
      </c>
      <c r="K4381" t="n">
        <v>0</v>
      </c>
      <c r="L4381" t="n">
        <v>0</v>
      </c>
      <c r="M4381" t="n">
        <v>0</v>
      </c>
      <c r="N4381" t="n">
        <v>0</v>
      </c>
      <c r="O4381" t="n">
        <v>0</v>
      </c>
      <c r="P4381" t="n">
        <v>0</v>
      </c>
      <c r="Q4381" t="n">
        <v>0</v>
      </c>
      <c r="R4381" s="2" t="inlineStr"/>
    </row>
    <row r="4382" ht="15" customHeight="1">
      <c r="A4382" t="inlineStr">
        <is>
          <t>A 560-2023</t>
        </is>
      </c>
      <c r="B4382" s="1" t="n">
        <v>44930.48471064815</v>
      </c>
      <c r="C4382" s="1" t="n">
        <v>45962</v>
      </c>
      <c r="D4382" t="inlineStr">
        <is>
          <t>SKÅNE LÄN</t>
        </is>
      </c>
      <c r="E4382" t="inlineStr">
        <is>
          <t>ÖSTRA GÖINGE</t>
        </is>
      </c>
      <c r="G4382" t="n">
        <v>1.2</v>
      </c>
      <c r="H4382" t="n">
        <v>0</v>
      </c>
      <c r="I4382" t="n">
        <v>0</v>
      </c>
      <c r="J4382" t="n">
        <v>0</v>
      </c>
      <c r="K4382" t="n">
        <v>0</v>
      </c>
      <c r="L4382" t="n">
        <v>0</v>
      </c>
      <c r="M4382" t="n">
        <v>0</v>
      </c>
      <c r="N4382" t="n">
        <v>0</v>
      </c>
      <c r="O4382" t="n">
        <v>0</v>
      </c>
      <c r="P4382" t="n">
        <v>0</v>
      </c>
      <c r="Q4382" t="n">
        <v>0</v>
      </c>
      <c r="R4382" s="2" t="inlineStr"/>
    </row>
    <row r="4383" ht="15" customHeight="1">
      <c r="A4383" t="inlineStr">
        <is>
          <t>A 18360-2025</t>
        </is>
      </c>
      <c r="B4383" s="1" t="n">
        <v>45762</v>
      </c>
      <c r="C4383" s="1" t="n">
        <v>45962</v>
      </c>
      <c r="D4383" t="inlineStr">
        <is>
          <t>SKÅNE LÄN</t>
        </is>
      </c>
      <c r="E4383" t="inlineStr">
        <is>
          <t>HÖRBY</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36369-2025</t>
        </is>
      </c>
      <c r="B4384" s="1" t="n">
        <v>45868.54038194445</v>
      </c>
      <c r="C4384" s="1" t="n">
        <v>45962</v>
      </c>
      <c r="D4384" t="inlineStr">
        <is>
          <t>SKÅNE LÄN</t>
        </is>
      </c>
      <c r="E4384" t="inlineStr">
        <is>
          <t>HÖRBY</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43447-2024</t>
        </is>
      </c>
      <c r="B4385" s="1" t="n">
        <v>45568.67050925926</v>
      </c>
      <c r="C4385" s="1" t="n">
        <v>45962</v>
      </c>
      <c r="D4385" t="inlineStr">
        <is>
          <t>SKÅNE LÄN</t>
        </is>
      </c>
      <c r="E4385" t="inlineStr">
        <is>
          <t>ÖSTRA GÖINGE</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31773-2023</t>
        </is>
      </c>
      <c r="B4386" s="1" t="n">
        <v>45118</v>
      </c>
      <c r="C4386" s="1" t="n">
        <v>45962</v>
      </c>
      <c r="D4386" t="inlineStr">
        <is>
          <t>SKÅNE LÄN</t>
        </is>
      </c>
      <c r="E4386" t="inlineStr">
        <is>
          <t>LUND</t>
        </is>
      </c>
      <c r="F4386" t="inlineStr">
        <is>
          <t>Kommuner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35547-2023</t>
        </is>
      </c>
      <c r="B4387" s="1" t="n">
        <v>45146</v>
      </c>
      <c r="C4387" s="1" t="n">
        <v>45962</v>
      </c>
      <c r="D4387" t="inlineStr">
        <is>
          <t>SKÅNE LÄN</t>
        </is>
      </c>
      <c r="E4387" t="inlineStr">
        <is>
          <t>ÖSTRA GÖINGE</t>
        </is>
      </c>
      <c r="G4387" t="n">
        <v>5.1</v>
      </c>
      <c r="H4387" t="n">
        <v>0</v>
      </c>
      <c r="I4387" t="n">
        <v>0</v>
      </c>
      <c r="J4387" t="n">
        <v>0</v>
      </c>
      <c r="K4387" t="n">
        <v>0</v>
      </c>
      <c r="L4387" t="n">
        <v>0</v>
      </c>
      <c r="M4387" t="n">
        <v>0</v>
      </c>
      <c r="N4387" t="n">
        <v>0</v>
      </c>
      <c r="O4387" t="n">
        <v>0</v>
      </c>
      <c r="P4387" t="n">
        <v>0</v>
      </c>
      <c r="Q4387" t="n">
        <v>0</v>
      </c>
      <c r="R4387" s="2" t="inlineStr"/>
    </row>
    <row r="4388" ht="15" customHeight="1">
      <c r="A4388" t="inlineStr">
        <is>
          <t>A 2688-2024</t>
        </is>
      </c>
      <c r="B4388" s="1" t="n">
        <v>45314</v>
      </c>
      <c r="C4388" s="1" t="n">
        <v>45962</v>
      </c>
      <c r="D4388" t="inlineStr">
        <is>
          <t>SKÅNE LÄN</t>
        </is>
      </c>
      <c r="E4388" t="inlineStr">
        <is>
          <t>HÄSSLEHOLM</t>
        </is>
      </c>
      <c r="F4388" t="inlineStr">
        <is>
          <t>Övriga Aktiebolag</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31399-2025</t>
        </is>
      </c>
      <c r="B4389" s="1" t="n">
        <v>45833.46824074074</v>
      </c>
      <c r="C4389" s="1" t="n">
        <v>45962</v>
      </c>
      <c r="D4389" t="inlineStr">
        <is>
          <t>SKÅNE LÄN</t>
        </is>
      </c>
      <c r="E4389" t="inlineStr">
        <is>
          <t>ÖRKELLJUNGA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38684-2025</t>
        </is>
      </c>
      <c r="B4390" s="1" t="n">
        <v>45884.65519675926</v>
      </c>
      <c r="C4390" s="1" t="n">
        <v>45962</v>
      </c>
      <c r="D4390" t="inlineStr">
        <is>
          <t>SKÅNE LÄN</t>
        </is>
      </c>
      <c r="E4390" t="inlineStr">
        <is>
          <t>OSBY</t>
        </is>
      </c>
      <c r="G4390" t="n">
        <v>1.4</v>
      </c>
      <c r="H4390" t="n">
        <v>0</v>
      </c>
      <c r="I4390" t="n">
        <v>0</v>
      </c>
      <c r="J4390" t="n">
        <v>0</v>
      </c>
      <c r="K4390" t="n">
        <v>0</v>
      </c>
      <c r="L4390" t="n">
        <v>0</v>
      </c>
      <c r="M4390" t="n">
        <v>0</v>
      </c>
      <c r="N4390" t="n">
        <v>0</v>
      </c>
      <c r="O4390" t="n">
        <v>0</v>
      </c>
      <c r="P4390" t="n">
        <v>0</v>
      </c>
      <c r="Q4390" t="n">
        <v>0</v>
      </c>
      <c r="R4390" s="2" t="inlineStr"/>
    </row>
    <row r="4391" ht="15" customHeight="1">
      <c r="A4391" t="inlineStr">
        <is>
          <t>A 26251-2025</t>
        </is>
      </c>
      <c r="B4391" s="1" t="n">
        <v>45805.57872685185</v>
      </c>
      <c r="C4391" s="1" t="n">
        <v>45962</v>
      </c>
      <c r="D4391" t="inlineStr">
        <is>
          <t>SKÅNE LÄN</t>
        </is>
      </c>
      <c r="E4391" t="inlineStr">
        <is>
          <t>HÖÖR</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29743-2021</t>
        </is>
      </c>
      <c r="B4392" s="1" t="n">
        <v>44362</v>
      </c>
      <c r="C4392" s="1" t="n">
        <v>45962</v>
      </c>
      <c r="D4392" t="inlineStr">
        <is>
          <t>SKÅNE LÄN</t>
        </is>
      </c>
      <c r="E4392" t="inlineStr">
        <is>
          <t>PERSTORP</t>
        </is>
      </c>
      <c r="F4392" t="inlineStr">
        <is>
          <t>Övriga Aktiebolag</t>
        </is>
      </c>
      <c r="G4392" t="n">
        <v>12.8</v>
      </c>
      <c r="H4392" t="n">
        <v>0</v>
      </c>
      <c r="I4392" t="n">
        <v>0</v>
      </c>
      <c r="J4392" t="n">
        <v>0</v>
      </c>
      <c r="K4392" t="n">
        <v>0</v>
      </c>
      <c r="L4392" t="n">
        <v>0</v>
      </c>
      <c r="M4392" t="n">
        <v>0</v>
      </c>
      <c r="N4392" t="n">
        <v>0</v>
      </c>
      <c r="O4392" t="n">
        <v>0</v>
      </c>
      <c r="P4392" t="n">
        <v>0</v>
      </c>
      <c r="Q4392" t="n">
        <v>0</v>
      </c>
      <c r="R4392" s="2" t="inlineStr"/>
    </row>
    <row r="4393" ht="15" customHeight="1">
      <c r="A4393" t="inlineStr">
        <is>
          <t>A 31802-2023</t>
        </is>
      </c>
      <c r="B4393" s="1" t="n">
        <v>45106</v>
      </c>
      <c r="C4393" s="1" t="n">
        <v>45962</v>
      </c>
      <c r="D4393" t="inlineStr">
        <is>
          <t>SKÅNE LÄN</t>
        </is>
      </c>
      <c r="E4393" t="inlineStr">
        <is>
          <t>PERSTORP</t>
        </is>
      </c>
      <c r="F4393" t="inlineStr">
        <is>
          <t>Övriga Aktiebolag</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29850-2024</t>
        </is>
      </c>
      <c r="B4394" s="1" t="n">
        <v>45485.64620370371</v>
      </c>
      <c r="C4394" s="1" t="n">
        <v>45962</v>
      </c>
      <c r="D4394" t="inlineStr">
        <is>
          <t>SKÅNE LÄN</t>
        </is>
      </c>
      <c r="E4394" t="inlineStr">
        <is>
          <t>HÄSSLEHOLM</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1560-2023</t>
        </is>
      </c>
      <c r="B4395" s="1" t="n">
        <v>44937</v>
      </c>
      <c r="C4395" s="1" t="n">
        <v>45962</v>
      </c>
      <c r="D4395" t="inlineStr">
        <is>
          <t>SKÅNE LÄN</t>
        </is>
      </c>
      <c r="E4395" t="inlineStr">
        <is>
          <t>HÄSSLEHOLM</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557-2023</t>
        </is>
      </c>
      <c r="B4396" s="1" t="n">
        <v>44930.48086805556</v>
      </c>
      <c r="C4396" s="1" t="n">
        <v>45962</v>
      </c>
      <c r="D4396" t="inlineStr">
        <is>
          <t>SKÅNE LÄN</t>
        </is>
      </c>
      <c r="E4396" t="inlineStr">
        <is>
          <t>ÖSTRA GÖINGE</t>
        </is>
      </c>
      <c r="G4396" t="n">
        <v>2.2</v>
      </c>
      <c r="H4396" t="n">
        <v>0</v>
      </c>
      <c r="I4396" t="n">
        <v>0</v>
      </c>
      <c r="J4396" t="n">
        <v>0</v>
      </c>
      <c r="K4396" t="n">
        <v>0</v>
      </c>
      <c r="L4396" t="n">
        <v>0</v>
      </c>
      <c r="M4396" t="n">
        <v>0</v>
      </c>
      <c r="N4396" t="n">
        <v>0</v>
      </c>
      <c r="O4396" t="n">
        <v>0</v>
      </c>
      <c r="P4396" t="n">
        <v>0</v>
      </c>
      <c r="Q4396" t="n">
        <v>0</v>
      </c>
      <c r="R4396" s="2" t="inlineStr"/>
    </row>
    <row r="4397" ht="15" customHeight="1">
      <c r="A4397" t="inlineStr">
        <is>
          <t>A 38781-2025</t>
        </is>
      </c>
      <c r="B4397" s="1" t="n">
        <v>45887.44121527778</v>
      </c>
      <c r="C4397" s="1" t="n">
        <v>45962</v>
      </c>
      <c r="D4397" t="inlineStr">
        <is>
          <t>SKÅNE LÄN</t>
        </is>
      </c>
      <c r="E4397" t="inlineStr">
        <is>
          <t>KRISTIANSTAD</t>
        </is>
      </c>
      <c r="G4397" t="n">
        <v>3.1</v>
      </c>
      <c r="H4397" t="n">
        <v>0</v>
      </c>
      <c r="I4397" t="n">
        <v>0</v>
      </c>
      <c r="J4397" t="n">
        <v>0</v>
      </c>
      <c r="K4397" t="n">
        <v>0</v>
      </c>
      <c r="L4397" t="n">
        <v>0</v>
      </c>
      <c r="M4397" t="n">
        <v>0</v>
      </c>
      <c r="N4397" t="n">
        <v>0</v>
      </c>
      <c r="O4397" t="n">
        <v>0</v>
      </c>
      <c r="P4397" t="n">
        <v>0</v>
      </c>
      <c r="Q4397" t="n">
        <v>0</v>
      </c>
      <c r="R4397" s="2" t="inlineStr"/>
    </row>
    <row r="4398" ht="15" customHeight="1">
      <c r="A4398" t="inlineStr">
        <is>
          <t>A 26403-2024</t>
        </is>
      </c>
      <c r="B4398" s="1" t="n">
        <v>45469.44505787037</v>
      </c>
      <c r="C4398" s="1" t="n">
        <v>45962</v>
      </c>
      <c r="D4398" t="inlineStr">
        <is>
          <t>SKÅNE LÄN</t>
        </is>
      </c>
      <c r="E4398" t="inlineStr">
        <is>
          <t>HÄSSLEHOLM</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26403-2024</t>
        </is>
      </c>
      <c r="B4399" s="1" t="n">
        <v>45469.44505787037</v>
      </c>
      <c r="C4399" s="1" t="n">
        <v>45962</v>
      </c>
      <c r="D4399" t="inlineStr">
        <is>
          <t>SKÅNE LÄN</t>
        </is>
      </c>
      <c r="E4399" t="inlineStr">
        <is>
          <t>HÄSSLEHOLM</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17904-2025</t>
        </is>
      </c>
      <c r="B4400" s="1" t="n">
        <v>45758.71329861111</v>
      </c>
      <c r="C4400" s="1" t="n">
        <v>45962</v>
      </c>
      <c r="D4400" t="inlineStr">
        <is>
          <t>SKÅNE LÄN</t>
        </is>
      </c>
      <c r="E4400" t="inlineStr">
        <is>
          <t>ÖSTRA GÖINGE</t>
        </is>
      </c>
      <c r="G4400" t="n">
        <v>1.7</v>
      </c>
      <c r="H4400" t="n">
        <v>0</v>
      </c>
      <c r="I4400" t="n">
        <v>0</v>
      </c>
      <c r="J4400" t="n">
        <v>0</v>
      </c>
      <c r="K4400" t="n">
        <v>0</v>
      </c>
      <c r="L4400" t="n">
        <v>0</v>
      </c>
      <c r="M4400" t="n">
        <v>0</v>
      </c>
      <c r="N4400" t="n">
        <v>0</v>
      </c>
      <c r="O4400" t="n">
        <v>0</v>
      </c>
      <c r="P4400" t="n">
        <v>0</v>
      </c>
      <c r="Q4400" t="n">
        <v>0</v>
      </c>
      <c r="R4400" s="2" t="inlineStr"/>
    </row>
    <row r="4401" ht="15" customHeight="1">
      <c r="A4401" t="inlineStr">
        <is>
          <t>A 30007-2023</t>
        </is>
      </c>
      <c r="B4401" s="1" t="n">
        <v>45109.80349537037</v>
      </c>
      <c r="C4401" s="1" t="n">
        <v>45962</v>
      </c>
      <c r="D4401" t="inlineStr">
        <is>
          <t>SKÅNE LÄN</t>
        </is>
      </c>
      <c r="E4401" t="inlineStr">
        <is>
          <t>HÄSSLEHOLM</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7915-2025</t>
        </is>
      </c>
      <c r="B4402" s="1" t="n">
        <v>45707.35076388889</v>
      </c>
      <c r="C4402" s="1" t="n">
        <v>45962</v>
      </c>
      <c r="D4402" t="inlineStr">
        <is>
          <t>SKÅNE LÄN</t>
        </is>
      </c>
      <c r="E4402" t="inlineStr">
        <is>
          <t>ÖRKELLJUNGA</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59597-2023</t>
        </is>
      </c>
      <c r="B4403" s="1" t="n">
        <v>45254</v>
      </c>
      <c r="C4403" s="1" t="n">
        <v>45962</v>
      </c>
      <c r="D4403" t="inlineStr">
        <is>
          <t>SKÅNE LÄN</t>
        </is>
      </c>
      <c r="E4403" t="inlineStr">
        <is>
          <t>KRISTIANSTAD</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38893-2025</t>
        </is>
      </c>
      <c r="B4404" s="1" t="n">
        <v>45887.58900462963</v>
      </c>
      <c r="C4404" s="1" t="n">
        <v>45962</v>
      </c>
      <c r="D4404" t="inlineStr">
        <is>
          <t>SKÅNE LÄN</t>
        </is>
      </c>
      <c r="E4404" t="inlineStr">
        <is>
          <t>ÖRKELLJUNGA</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14747-2023</t>
        </is>
      </c>
      <c r="B4405" s="1" t="n">
        <v>45014</v>
      </c>
      <c r="C4405" s="1" t="n">
        <v>45962</v>
      </c>
      <c r="D4405" t="inlineStr">
        <is>
          <t>SKÅNE LÄN</t>
        </is>
      </c>
      <c r="E4405" t="inlineStr">
        <is>
          <t>SJÖBO</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23005-2024</t>
        </is>
      </c>
      <c r="B4406" s="1" t="n">
        <v>45450.32965277778</v>
      </c>
      <c r="C4406" s="1" t="n">
        <v>45962</v>
      </c>
      <c r="D4406" t="inlineStr">
        <is>
          <t>SKÅNE LÄN</t>
        </is>
      </c>
      <c r="E4406" t="inlineStr">
        <is>
          <t>HÖÖR</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11002-2023</t>
        </is>
      </c>
      <c r="B4407" s="1" t="n">
        <v>44991</v>
      </c>
      <c r="C4407" s="1" t="n">
        <v>45962</v>
      </c>
      <c r="D4407" t="inlineStr">
        <is>
          <t>SKÅNE LÄN</t>
        </is>
      </c>
      <c r="E4407" t="inlineStr">
        <is>
          <t>TOMELILLA</t>
        </is>
      </c>
      <c r="F4407" t="inlineStr">
        <is>
          <t>Övriga Aktiebolag</t>
        </is>
      </c>
      <c r="G4407" t="n">
        <v>3.6</v>
      </c>
      <c r="H4407" t="n">
        <v>0</v>
      </c>
      <c r="I4407" t="n">
        <v>0</v>
      </c>
      <c r="J4407" t="n">
        <v>0</v>
      </c>
      <c r="K4407" t="n">
        <v>0</v>
      </c>
      <c r="L4407" t="n">
        <v>0</v>
      </c>
      <c r="M4407" t="n">
        <v>0</v>
      </c>
      <c r="N4407" t="n">
        <v>0</v>
      </c>
      <c r="O4407" t="n">
        <v>0</v>
      </c>
      <c r="P4407" t="n">
        <v>0</v>
      </c>
      <c r="Q4407" t="n">
        <v>0</v>
      </c>
      <c r="R4407" s="2" t="inlineStr"/>
    </row>
    <row r="4408" ht="15" customHeight="1">
      <c r="A4408" t="inlineStr">
        <is>
          <t>A 15525-2023</t>
        </is>
      </c>
      <c r="B4408" s="1" t="n">
        <v>45016</v>
      </c>
      <c r="C4408" s="1" t="n">
        <v>45962</v>
      </c>
      <c r="D4408" t="inlineStr">
        <is>
          <t>SKÅNE LÄN</t>
        </is>
      </c>
      <c r="E4408" t="inlineStr">
        <is>
          <t>OSBY</t>
        </is>
      </c>
      <c r="F4408" t="inlineStr">
        <is>
          <t>Naturvårdsverket</t>
        </is>
      </c>
      <c r="G4408" t="n">
        <v>4.4</v>
      </c>
      <c r="H4408" t="n">
        <v>0</v>
      </c>
      <c r="I4408" t="n">
        <v>0</v>
      </c>
      <c r="J4408" t="n">
        <v>0</v>
      </c>
      <c r="K4408" t="n">
        <v>0</v>
      </c>
      <c r="L4408" t="n">
        <v>0</v>
      </c>
      <c r="M4408" t="n">
        <v>0</v>
      </c>
      <c r="N4408" t="n">
        <v>0</v>
      </c>
      <c r="O4408" t="n">
        <v>0</v>
      </c>
      <c r="P4408" t="n">
        <v>0</v>
      </c>
      <c r="Q4408" t="n">
        <v>0</v>
      </c>
      <c r="R4408" s="2" t="inlineStr"/>
    </row>
    <row r="4409" ht="15" customHeight="1">
      <c r="A4409" t="inlineStr">
        <is>
          <t>A 23479-2024</t>
        </is>
      </c>
      <c r="B4409" s="1" t="n">
        <v>45453</v>
      </c>
      <c r="C4409" s="1" t="n">
        <v>45962</v>
      </c>
      <c r="D4409" t="inlineStr">
        <is>
          <t>SKÅNE LÄN</t>
        </is>
      </c>
      <c r="E4409" t="inlineStr">
        <is>
          <t>OSBY</t>
        </is>
      </c>
      <c r="F4409" t="inlineStr">
        <is>
          <t>Sveaskog</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28599-2024</t>
        </is>
      </c>
      <c r="B4410" s="1" t="n">
        <v>45478.4247800926</v>
      </c>
      <c r="C4410" s="1" t="n">
        <v>45962</v>
      </c>
      <c r="D4410" t="inlineStr">
        <is>
          <t>SKÅNE LÄN</t>
        </is>
      </c>
      <c r="E4410" t="inlineStr">
        <is>
          <t>HÄSSLEHOLM</t>
        </is>
      </c>
      <c r="G4410" t="n">
        <v>8.6</v>
      </c>
      <c r="H4410" t="n">
        <v>0</v>
      </c>
      <c r="I4410" t="n">
        <v>0</v>
      </c>
      <c r="J4410" t="n">
        <v>0</v>
      </c>
      <c r="K4410" t="n">
        <v>0</v>
      </c>
      <c r="L4410" t="n">
        <v>0</v>
      </c>
      <c r="M4410" t="n">
        <v>0</v>
      </c>
      <c r="N4410" t="n">
        <v>0</v>
      </c>
      <c r="O4410" t="n">
        <v>0</v>
      </c>
      <c r="P4410" t="n">
        <v>0</v>
      </c>
      <c r="Q4410" t="n">
        <v>0</v>
      </c>
      <c r="R4410" s="2" t="inlineStr"/>
    </row>
    <row r="4411" ht="15" customHeight="1">
      <c r="A4411" t="inlineStr">
        <is>
          <t>A 57543-2022</t>
        </is>
      </c>
      <c r="B4411" s="1" t="n">
        <v>44896.71260416666</v>
      </c>
      <c r="C4411" s="1" t="n">
        <v>45962</v>
      </c>
      <c r="D4411" t="inlineStr">
        <is>
          <t>SKÅNE LÄN</t>
        </is>
      </c>
      <c r="E4411" t="inlineStr">
        <is>
          <t>ÖSTRA GÖINGE</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9556-2025</t>
        </is>
      </c>
      <c r="B4412" s="1" t="n">
        <v>45714</v>
      </c>
      <c r="C4412" s="1" t="n">
        <v>45962</v>
      </c>
      <c r="D4412" t="inlineStr">
        <is>
          <t>SKÅNE LÄN</t>
        </is>
      </c>
      <c r="E4412" t="inlineStr">
        <is>
          <t>HÄSSLEHOLM</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47394-2025</t>
        </is>
      </c>
      <c r="B4413" s="1" t="n">
        <v>45930</v>
      </c>
      <c r="C4413" s="1" t="n">
        <v>45962</v>
      </c>
      <c r="D4413" t="inlineStr">
        <is>
          <t>SKÅNE LÄN</t>
        </is>
      </c>
      <c r="E4413" t="inlineStr">
        <is>
          <t>HÄSSLEHOLM</t>
        </is>
      </c>
      <c r="G4413" t="n">
        <v>2.4</v>
      </c>
      <c r="H4413" t="n">
        <v>0</v>
      </c>
      <c r="I4413" t="n">
        <v>0</v>
      </c>
      <c r="J4413" t="n">
        <v>0</v>
      </c>
      <c r="K4413" t="n">
        <v>0</v>
      </c>
      <c r="L4413" t="n">
        <v>0</v>
      </c>
      <c r="M4413" t="n">
        <v>0</v>
      </c>
      <c r="N4413" t="n">
        <v>0</v>
      </c>
      <c r="O4413" t="n">
        <v>0</v>
      </c>
      <c r="P4413" t="n">
        <v>0</v>
      </c>
      <c r="Q4413" t="n">
        <v>0</v>
      </c>
      <c r="R4413" s="2" t="inlineStr"/>
    </row>
    <row r="4414" ht="15" customHeight="1">
      <c r="A4414" t="inlineStr">
        <is>
          <t>A 60319-2024</t>
        </is>
      </c>
      <c r="B4414" s="1" t="n">
        <v>45643.36903935186</v>
      </c>
      <c r="C4414" s="1" t="n">
        <v>45962</v>
      </c>
      <c r="D4414" t="inlineStr">
        <is>
          <t>SKÅNE LÄN</t>
        </is>
      </c>
      <c r="E4414" t="inlineStr">
        <is>
          <t>OSBY</t>
        </is>
      </c>
      <c r="G4414" t="n">
        <v>4</v>
      </c>
      <c r="H4414" t="n">
        <v>0</v>
      </c>
      <c r="I4414" t="n">
        <v>0</v>
      </c>
      <c r="J4414" t="n">
        <v>0</v>
      </c>
      <c r="K4414" t="n">
        <v>0</v>
      </c>
      <c r="L4414" t="n">
        <v>0</v>
      </c>
      <c r="M4414" t="n">
        <v>0</v>
      </c>
      <c r="N4414" t="n">
        <v>0</v>
      </c>
      <c r="O4414" t="n">
        <v>0</v>
      </c>
      <c r="P4414" t="n">
        <v>0</v>
      </c>
      <c r="Q4414" t="n">
        <v>0</v>
      </c>
      <c r="R4414" s="2" t="inlineStr"/>
    </row>
    <row r="4415" ht="15" customHeight="1">
      <c r="A4415" t="inlineStr">
        <is>
          <t>A 47052-2025</t>
        </is>
      </c>
      <c r="B4415" s="1" t="n">
        <v>45929.61524305555</v>
      </c>
      <c r="C4415" s="1" t="n">
        <v>45962</v>
      </c>
      <c r="D4415" t="inlineStr">
        <is>
          <t>SKÅNE LÄN</t>
        </is>
      </c>
      <c r="E4415" t="inlineStr">
        <is>
          <t>KRISTIANSTAD</t>
        </is>
      </c>
      <c r="G4415" t="n">
        <v>3.5</v>
      </c>
      <c r="H4415" t="n">
        <v>0</v>
      </c>
      <c r="I4415" t="n">
        <v>0</v>
      </c>
      <c r="J4415" t="n">
        <v>0</v>
      </c>
      <c r="K4415" t="n">
        <v>0</v>
      </c>
      <c r="L4415" t="n">
        <v>0</v>
      </c>
      <c r="M4415" t="n">
        <v>0</v>
      </c>
      <c r="N4415" t="n">
        <v>0</v>
      </c>
      <c r="O4415" t="n">
        <v>0</v>
      </c>
      <c r="P4415" t="n">
        <v>0</v>
      </c>
      <c r="Q4415" t="n">
        <v>0</v>
      </c>
      <c r="R4415" s="2" t="inlineStr"/>
    </row>
    <row r="4416" ht="15" customHeight="1">
      <c r="A4416" t="inlineStr">
        <is>
          <t>A 52877-2022</t>
        </is>
      </c>
      <c r="B4416" s="1" t="n">
        <v>44875.53217592592</v>
      </c>
      <c r="C4416" s="1" t="n">
        <v>45962</v>
      </c>
      <c r="D4416" t="inlineStr">
        <is>
          <t>SKÅNE LÄN</t>
        </is>
      </c>
      <c r="E4416" t="inlineStr">
        <is>
          <t>KLIPPAN</t>
        </is>
      </c>
      <c r="G4416" t="n">
        <v>0.7</v>
      </c>
      <c r="H4416" t="n">
        <v>0</v>
      </c>
      <c r="I4416" t="n">
        <v>0</v>
      </c>
      <c r="J4416" t="n">
        <v>0</v>
      </c>
      <c r="K4416" t="n">
        <v>0</v>
      </c>
      <c r="L4416" t="n">
        <v>0</v>
      </c>
      <c r="M4416" t="n">
        <v>0</v>
      </c>
      <c r="N4416" t="n">
        <v>0</v>
      </c>
      <c r="O4416" t="n">
        <v>0</v>
      </c>
      <c r="P4416" t="n">
        <v>0</v>
      </c>
      <c r="Q4416" t="n">
        <v>0</v>
      </c>
      <c r="R4416" s="2" t="inlineStr"/>
    </row>
    <row r="4417" ht="15" customHeight="1">
      <c r="A4417" t="inlineStr">
        <is>
          <t>A 25726-2025</t>
        </is>
      </c>
      <c r="B4417" s="1" t="n">
        <v>45803</v>
      </c>
      <c r="C4417" s="1" t="n">
        <v>45962</v>
      </c>
      <c r="D4417" t="inlineStr">
        <is>
          <t>SKÅNE LÄN</t>
        </is>
      </c>
      <c r="E4417" t="inlineStr">
        <is>
          <t>HÄSSLEHOLM</t>
        </is>
      </c>
      <c r="G4417" t="n">
        <v>5.5</v>
      </c>
      <c r="H4417" t="n">
        <v>0</v>
      </c>
      <c r="I4417" t="n">
        <v>0</v>
      </c>
      <c r="J4417" t="n">
        <v>0</v>
      </c>
      <c r="K4417" t="n">
        <v>0</v>
      </c>
      <c r="L4417" t="n">
        <v>0</v>
      </c>
      <c r="M4417" t="n">
        <v>0</v>
      </c>
      <c r="N4417" t="n">
        <v>0</v>
      </c>
      <c r="O4417" t="n">
        <v>0</v>
      </c>
      <c r="P4417" t="n">
        <v>0</v>
      </c>
      <c r="Q4417" t="n">
        <v>0</v>
      </c>
      <c r="R4417" s="2" t="inlineStr"/>
    </row>
    <row r="4418" ht="15" customHeight="1">
      <c r="A4418" t="inlineStr">
        <is>
          <t>A 4187-2023</t>
        </is>
      </c>
      <c r="B4418" s="1" t="n">
        <v>44953</v>
      </c>
      <c r="C4418" s="1" t="n">
        <v>45962</v>
      </c>
      <c r="D4418" t="inlineStr">
        <is>
          <t>SKÅNE LÄN</t>
        </is>
      </c>
      <c r="E4418" t="inlineStr">
        <is>
          <t>HÄSSLEHOLM</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57521-2022</t>
        </is>
      </c>
      <c r="B4419" s="1" t="n">
        <v>44896</v>
      </c>
      <c r="C4419" s="1" t="n">
        <v>45962</v>
      </c>
      <c r="D4419" t="inlineStr">
        <is>
          <t>SKÅNE LÄN</t>
        </is>
      </c>
      <c r="E4419" t="inlineStr">
        <is>
          <t>ÖSTRA GÖINGE</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57181-2024</t>
        </is>
      </c>
      <c r="B4420" s="1" t="n">
        <v>45629.44629629629</v>
      </c>
      <c r="C4420" s="1" t="n">
        <v>45962</v>
      </c>
      <c r="D4420" t="inlineStr">
        <is>
          <t>SKÅNE LÄN</t>
        </is>
      </c>
      <c r="E4420" t="inlineStr">
        <is>
          <t>BROMÖLLA</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27965-2025</t>
        </is>
      </c>
      <c r="B4421" s="1" t="n">
        <v>45817</v>
      </c>
      <c r="C4421" s="1" t="n">
        <v>45962</v>
      </c>
      <c r="D4421" t="inlineStr">
        <is>
          <t>SKÅNE LÄN</t>
        </is>
      </c>
      <c r="E4421" t="inlineStr">
        <is>
          <t>BROMÖLLA</t>
        </is>
      </c>
      <c r="G4421" t="n">
        <v>12.7</v>
      </c>
      <c r="H4421" t="n">
        <v>0</v>
      </c>
      <c r="I4421" t="n">
        <v>0</v>
      </c>
      <c r="J4421" t="n">
        <v>0</v>
      </c>
      <c r="K4421" t="n">
        <v>0</v>
      </c>
      <c r="L4421" t="n">
        <v>0</v>
      </c>
      <c r="M4421" t="n">
        <v>0</v>
      </c>
      <c r="N4421" t="n">
        <v>0</v>
      </c>
      <c r="O4421" t="n">
        <v>0</v>
      </c>
      <c r="P4421" t="n">
        <v>0</v>
      </c>
      <c r="Q4421" t="n">
        <v>0</v>
      </c>
      <c r="R4421" s="2" t="inlineStr"/>
    </row>
    <row r="4422" ht="15" customHeight="1">
      <c r="A4422" t="inlineStr">
        <is>
          <t>A 42231-2022</t>
        </is>
      </c>
      <c r="B4422" s="1" t="n">
        <v>44830.77003472222</v>
      </c>
      <c r="C4422" s="1" t="n">
        <v>45962</v>
      </c>
      <c r="D4422" t="inlineStr">
        <is>
          <t>SKÅNE LÄN</t>
        </is>
      </c>
      <c r="E4422" t="inlineStr">
        <is>
          <t>HÄSSLEHOLM</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36798-2025</t>
        </is>
      </c>
      <c r="B4423" s="1" t="n">
        <v>45873.655625</v>
      </c>
      <c r="C4423" s="1" t="n">
        <v>45962</v>
      </c>
      <c r="D4423" t="inlineStr">
        <is>
          <t>SKÅNE LÄN</t>
        </is>
      </c>
      <c r="E4423" t="inlineStr">
        <is>
          <t>ÖSTRA GÖINGE</t>
        </is>
      </c>
      <c r="G4423" t="n">
        <v>1.9</v>
      </c>
      <c r="H4423" t="n">
        <v>0</v>
      </c>
      <c r="I4423" t="n">
        <v>0</v>
      </c>
      <c r="J4423" t="n">
        <v>0</v>
      </c>
      <c r="K4423" t="n">
        <v>0</v>
      </c>
      <c r="L4423" t="n">
        <v>0</v>
      </c>
      <c r="M4423" t="n">
        <v>0</v>
      </c>
      <c r="N4423" t="n">
        <v>0</v>
      </c>
      <c r="O4423" t="n">
        <v>0</v>
      </c>
      <c r="P4423" t="n">
        <v>0</v>
      </c>
      <c r="Q4423" t="n">
        <v>0</v>
      </c>
      <c r="R4423" s="2" t="inlineStr"/>
    </row>
    <row r="4424" ht="15" customHeight="1">
      <c r="A4424" t="inlineStr">
        <is>
          <t>A 47335-2025</t>
        </is>
      </c>
      <c r="B4424" s="1" t="n">
        <v>45930</v>
      </c>
      <c r="C4424" s="1" t="n">
        <v>45962</v>
      </c>
      <c r="D4424" t="inlineStr">
        <is>
          <t>SKÅNE LÄN</t>
        </is>
      </c>
      <c r="E4424" t="inlineStr">
        <is>
          <t>KRISTIANSTAD</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47331-2025</t>
        </is>
      </c>
      <c r="B4425" s="1" t="n">
        <v>45930</v>
      </c>
      <c r="C4425" s="1" t="n">
        <v>45962</v>
      </c>
      <c r="D4425" t="inlineStr">
        <is>
          <t>SKÅNE LÄN</t>
        </is>
      </c>
      <c r="E4425" t="inlineStr">
        <is>
          <t>KRISTIANSTAD</t>
        </is>
      </c>
      <c r="F4425" t="inlineStr">
        <is>
          <t>Kyrkan</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16331-2025</t>
        </is>
      </c>
      <c r="B4426" s="1" t="n">
        <v>45751.36126157407</v>
      </c>
      <c r="C4426" s="1" t="n">
        <v>45962</v>
      </c>
      <c r="D4426" t="inlineStr">
        <is>
          <t>SKÅNE LÄN</t>
        </is>
      </c>
      <c r="E4426" t="inlineStr">
        <is>
          <t>PERSTORP</t>
        </is>
      </c>
      <c r="G4426" t="n">
        <v>0.9</v>
      </c>
      <c r="H4426" t="n">
        <v>0</v>
      </c>
      <c r="I4426" t="n">
        <v>0</v>
      </c>
      <c r="J4426" t="n">
        <v>0</v>
      </c>
      <c r="K4426" t="n">
        <v>0</v>
      </c>
      <c r="L4426" t="n">
        <v>0</v>
      </c>
      <c r="M4426" t="n">
        <v>0</v>
      </c>
      <c r="N4426" t="n">
        <v>0</v>
      </c>
      <c r="O4426" t="n">
        <v>0</v>
      </c>
      <c r="P4426" t="n">
        <v>0</v>
      </c>
      <c r="Q4426" t="n">
        <v>0</v>
      </c>
      <c r="R4426" s="2" t="inlineStr"/>
    </row>
    <row r="4427" ht="15" customHeight="1">
      <c r="A4427" t="inlineStr">
        <is>
          <t>A 22540-2025</t>
        </is>
      </c>
      <c r="B4427" s="1" t="n">
        <v>45788.30451388889</v>
      </c>
      <c r="C4427" s="1" t="n">
        <v>45962</v>
      </c>
      <c r="D4427" t="inlineStr">
        <is>
          <t>SKÅNE LÄN</t>
        </is>
      </c>
      <c r="E4427" t="inlineStr">
        <is>
          <t>KLIPPAN</t>
        </is>
      </c>
      <c r="G4427" t="n">
        <v>4.9</v>
      </c>
      <c r="H4427" t="n">
        <v>0</v>
      </c>
      <c r="I4427" t="n">
        <v>0</v>
      </c>
      <c r="J4427" t="n">
        <v>0</v>
      </c>
      <c r="K4427" t="n">
        <v>0</v>
      </c>
      <c r="L4427" t="n">
        <v>0</v>
      </c>
      <c r="M4427" t="n">
        <v>0</v>
      </c>
      <c r="N4427" t="n">
        <v>0</v>
      </c>
      <c r="O4427" t="n">
        <v>0</v>
      </c>
      <c r="P4427" t="n">
        <v>0</v>
      </c>
      <c r="Q4427" t="n">
        <v>0</v>
      </c>
      <c r="R4427" s="2" t="inlineStr"/>
    </row>
    <row r="4428" ht="15" customHeight="1">
      <c r="A4428" t="inlineStr">
        <is>
          <t>A 5939-2023</t>
        </is>
      </c>
      <c r="B4428" s="1" t="n">
        <v>44963.83846064815</v>
      </c>
      <c r="C4428" s="1" t="n">
        <v>45962</v>
      </c>
      <c r="D4428" t="inlineStr">
        <is>
          <t>SKÅNE LÄN</t>
        </is>
      </c>
      <c r="E4428" t="inlineStr">
        <is>
          <t>KRISTIANSTAD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47289-2025</t>
        </is>
      </c>
      <c r="B4429" s="1" t="n">
        <v>45930</v>
      </c>
      <c r="C4429" s="1" t="n">
        <v>45962</v>
      </c>
      <c r="D4429" t="inlineStr">
        <is>
          <t>SKÅNE LÄN</t>
        </is>
      </c>
      <c r="E4429" t="inlineStr">
        <is>
          <t>PERSTORP</t>
        </is>
      </c>
      <c r="G4429" t="n">
        <v>3.7</v>
      </c>
      <c r="H4429" t="n">
        <v>0</v>
      </c>
      <c r="I4429" t="n">
        <v>0</v>
      </c>
      <c r="J4429" t="n">
        <v>0</v>
      </c>
      <c r="K4429" t="n">
        <v>0</v>
      </c>
      <c r="L4429" t="n">
        <v>0</v>
      </c>
      <c r="M4429" t="n">
        <v>0</v>
      </c>
      <c r="N4429" t="n">
        <v>0</v>
      </c>
      <c r="O4429" t="n">
        <v>0</v>
      </c>
      <c r="P4429" t="n">
        <v>0</v>
      </c>
      <c r="Q4429" t="n">
        <v>0</v>
      </c>
      <c r="R4429" s="2" t="inlineStr"/>
    </row>
    <row r="4430" ht="15" customHeight="1">
      <c r="A4430" t="inlineStr">
        <is>
          <t>A 24671-2025</t>
        </is>
      </c>
      <c r="B4430" s="1" t="n">
        <v>45798.65046296296</v>
      </c>
      <c r="C4430" s="1" t="n">
        <v>45962</v>
      </c>
      <c r="D4430" t="inlineStr">
        <is>
          <t>SKÅNE LÄN</t>
        </is>
      </c>
      <c r="E4430" t="inlineStr">
        <is>
          <t>ÖRKELLJUNGA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24674-2025</t>
        </is>
      </c>
      <c r="B4431" s="1" t="n">
        <v>45798.65300925926</v>
      </c>
      <c r="C4431" s="1" t="n">
        <v>45962</v>
      </c>
      <c r="D4431" t="inlineStr">
        <is>
          <t>SKÅNE LÄN</t>
        </is>
      </c>
      <c r="E4431" t="inlineStr">
        <is>
          <t>ÖRKELLJUNGA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16314-2024</t>
        </is>
      </c>
      <c r="B4432" s="1" t="n">
        <v>45407</v>
      </c>
      <c r="C4432" s="1" t="n">
        <v>45962</v>
      </c>
      <c r="D4432" t="inlineStr">
        <is>
          <t>SKÅNE LÄN</t>
        </is>
      </c>
      <c r="E4432" t="inlineStr">
        <is>
          <t>ÄNGELHOLM</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46712-2025</t>
        </is>
      </c>
      <c r="B4433" s="1" t="n">
        <v>45926.57591435185</v>
      </c>
      <c r="C4433" s="1" t="n">
        <v>45962</v>
      </c>
      <c r="D4433" t="inlineStr">
        <is>
          <t>SKÅNE LÄN</t>
        </is>
      </c>
      <c r="E4433" t="inlineStr">
        <is>
          <t>ÄNGELHOLM</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31893-2021</t>
        </is>
      </c>
      <c r="B4434" s="1" t="n">
        <v>44370.45880787037</v>
      </c>
      <c r="C4434" s="1" t="n">
        <v>45962</v>
      </c>
      <c r="D4434" t="inlineStr">
        <is>
          <t>SKÅNE LÄN</t>
        </is>
      </c>
      <c r="E4434" t="inlineStr">
        <is>
          <t>KLIPPAN</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47303-2025</t>
        </is>
      </c>
      <c r="B4435" s="1" t="n">
        <v>45930</v>
      </c>
      <c r="C4435" s="1" t="n">
        <v>45962</v>
      </c>
      <c r="D4435" t="inlineStr">
        <is>
          <t>SKÅNE LÄN</t>
        </is>
      </c>
      <c r="E4435" t="inlineStr">
        <is>
          <t>KRISTIANSTAD</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47432-2025</t>
        </is>
      </c>
      <c r="B4436" s="1" t="n">
        <v>45930</v>
      </c>
      <c r="C4436" s="1" t="n">
        <v>45962</v>
      </c>
      <c r="D4436" t="inlineStr">
        <is>
          <t>SKÅNE LÄN</t>
        </is>
      </c>
      <c r="E4436" t="inlineStr">
        <is>
          <t>HÄSSLEHOLM</t>
        </is>
      </c>
      <c r="G4436" t="n">
        <v>3.1</v>
      </c>
      <c r="H4436" t="n">
        <v>0</v>
      </c>
      <c r="I4436" t="n">
        <v>0</v>
      </c>
      <c r="J4436" t="n">
        <v>0</v>
      </c>
      <c r="K4436" t="n">
        <v>0</v>
      </c>
      <c r="L4436" t="n">
        <v>0</v>
      </c>
      <c r="M4436" t="n">
        <v>0</v>
      </c>
      <c r="N4436" t="n">
        <v>0</v>
      </c>
      <c r="O4436" t="n">
        <v>0</v>
      </c>
      <c r="P4436" t="n">
        <v>0</v>
      </c>
      <c r="Q4436" t="n">
        <v>0</v>
      </c>
      <c r="R4436" s="2" t="inlineStr"/>
    </row>
    <row r="4437" ht="15" customHeight="1">
      <c r="A4437" t="inlineStr">
        <is>
          <t>A 24664-2025</t>
        </is>
      </c>
      <c r="B4437" s="1" t="n">
        <v>45798.64627314815</v>
      </c>
      <c r="C4437" s="1" t="n">
        <v>45962</v>
      </c>
      <c r="D4437" t="inlineStr">
        <is>
          <t>SKÅNE LÄN</t>
        </is>
      </c>
      <c r="E4437" t="inlineStr">
        <is>
          <t>ÖRKELLJUNGA</t>
        </is>
      </c>
      <c r="G4437" t="n">
        <v>1.6</v>
      </c>
      <c r="H4437" t="n">
        <v>0</v>
      </c>
      <c r="I4437" t="n">
        <v>0</v>
      </c>
      <c r="J4437" t="n">
        <v>0</v>
      </c>
      <c r="K4437" t="n">
        <v>0</v>
      </c>
      <c r="L4437" t="n">
        <v>0</v>
      </c>
      <c r="M4437" t="n">
        <v>0</v>
      </c>
      <c r="N4437" t="n">
        <v>0</v>
      </c>
      <c r="O4437" t="n">
        <v>0</v>
      </c>
      <c r="P4437" t="n">
        <v>0</v>
      </c>
      <c r="Q4437" t="n">
        <v>0</v>
      </c>
      <c r="R4437" s="2" t="inlineStr"/>
    </row>
    <row r="4438" ht="15" customHeight="1">
      <c r="A4438" t="inlineStr">
        <is>
          <t>A 59390-2021</t>
        </is>
      </c>
      <c r="B4438" s="1" t="n">
        <v>44490</v>
      </c>
      <c r="C4438" s="1" t="n">
        <v>45962</v>
      </c>
      <c r="D4438" t="inlineStr">
        <is>
          <t>SKÅNE LÄN</t>
        </is>
      </c>
      <c r="E4438" t="inlineStr">
        <is>
          <t>HÄSSLEHOLM</t>
        </is>
      </c>
      <c r="G4438" t="n">
        <v>7.1</v>
      </c>
      <c r="H4438" t="n">
        <v>0</v>
      </c>
      <c r="I4438" t="n">
        <v>0</v>
      </c>
      <c r="J4438" t="n">
        <v>0</v>
      </c>
      <c r="K4438" t="n">
        <v>0</v>
      </c>
      <c r="L4438" t="n">
        <v>0</v>
      </c>
      <c r="M4438" t="n">
        <v>0</v>
      </c>
      <c r="N4438" t="n">
        <v>0</v>
      </c>
      <c r="O4438" t="n">
        <v>0</v>
      </c>
      <c r="P4438" t="n">
        <v>0</v>
      </c>
      <c r="Q4438" t="n">
        <v>0</v>
      </c>
      <c r="R4438" s="2" t="inlineStr"/>
    </row>
    <row r="4439" ht="15" customHeight="1">
      <c r="A4439" t="inlineStr">
        <is>
          <t>A 8209-2025</t>
        </is>
      </c>
      <c r="B4439" s="1" t="n">
        <v>45708.44244212963</v>
      </c>
      <c r="C4439" s="1" t="n">
        <v>45962</v>
      </c>
      <c r="D4439" t="inlineStr">
        <is>
          <t>SKÅNE LÄN</t>
        </is>
      </c>
      <c r="E4439" t="inlineStr">
        <is>
          <t>HÄSSLEHOLM</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11705-2023</t>
        </is>
      </c>
      <c r="B4440" s="1" t="n">
        <v>44992</v>
      </c>
      <c r="C4440" s="1" t="n">
        <v>45962</v>
      </c>
      <c r="D4440" t="inlineStr">
        <is>
          <t>SKÅNE LÄN</t>
        </is>
      </c>
      <c r="E4440" t="inlineStr">
        <is>
          <t>KLIPPAN</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8876-2024</t>
        </is>
      </c>
      <c r="B4441" s="1" t="n">
        <v>45356.97445601852</v>
      </c>
      <c r="C4441" s="1" t="n">
        <v>45962</v>
      </c>
      <c r="D4441" t="inlineStr">
        <is>
          <t>SKÅNE LÄN</t>
        </is>
      </c>
      <c r="E4441" t="inlineStr">
        <is>
          <t>KRISTIANSTAD</t>
        </is>
      </c>
      <c r="G4441" t="n">
        <v>1.6</v>
      </c>
      <c r="H4441" t="n">
        <v>0</v>
      </c>
      <c r="I4441" t="n">
        <v>0</v>
      </c>
      <c r="J4441" t="n">
        <v>0</v>
      </c>
      <c r="K4441" t="n">
        <v>0</v>
      </c>
      <c r="L4441" t="n">
        <v>0</v>
      </c>
      <c r="M4441" t="n">
        <v>0</v>
      </c>
      <c r="N4441" t="n">
        <v>0</v>
      </c>
      <c r="O4441" t="n">
        <v>0</v>
      </c>
      <c r="P4441" t="n">
        <v>0</v>
      </c>
      <c r="Q4441" t="n">
        <v>0</v>
      </c>
      <c r="R4441" s="2" t="inlineStr"/>
    </row>
    <row r="4442" ht="15" customHeight="1">
      <c r="A4442" t="inlineStr">
        <is>
          <t>A 10497-2022</t>
        </is>
      </c>
      <c r="B4442" s="1" t="n">
        <v>44623.66270833334</v>
      </c>
      <c r="C4442" s="1" t="n">
        <v>45962</v>
      </c>
      <c r="D4442" t="inlineStr">
        <is>
          <t>SKÅNE LÄN</t>
        </is>
      </c>
      <c r="E4442" t="inlineStr">
        <is>
          <t>ÖSTRA GÖINGE</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39284-2025</t>
        </is>
      </c>
      <c r="B4443" s="1" t="n">
        <v>45889.4053125</v>
      </c>
      <c r="C4443" s="1" t="n">
        <v>45962</v>
      </c>
      <c r="D4443" t="inlineStr">
        <is>
          <t>SKÅNE LÄN</t>
        </is>
      </c>
      <c r="E4443" t="inlineStr">
        <is>
          <t>BROMÖLLA</t>
        </is>
      </c>
      <c r="G4443" t="n">
        <v>3</v>
      </c>
      <c r="H4443" t="n">
        <v>0</v>
      </c>
      <c r="I4443" t="n">
        <v>0</v>
      </c>
      <c r="J4443" t="n">
        <v>0</v>
      </c>
      <c r="K4443" t="n">
        <v>0</v>
      </c>
      <c r="L4443" t="n">
        <v>0</v>
      </c>
      <c r="M4443" t="n">
        <v>0</v>
      </c>
      <c r="N4443" t="n">
        <v>0</v>
      </c>
      <c r="O4443" t="n">
        <v>0</v>
      </c>
      <c r="P4443" t="n">
        <v>0</v>
      </c>
      <c r="Q4443" t="n">
        <v>0</v>
      </c>
      <c r="R4443" s="2" t="inlineStr"/>
    </row>
    <row r="4444" ht="15" customHeight="1">
      <c r="A4444" t="inlineStr">
        <is>
          <t>A 47268-2025</t>
        </is>
      </c>
      <c r="B4444" s="1" t="n">
        <v>45930.45893518518</v>
      </c>
      <c r="C4444" s="1" t="n">
        <v>45962</v>
      </c>
      <c r="D4444" t="inlineStr">
        <is>
          <t>SKÅNE LÄN</t>
        </is>
      </c>
      <c r="E4444" t="inlineStr">
        <is>
          <t>ÖRKELLJUNGA</t>
        </is>
      </c>
      <c r="G4444" t="n">
        <v>6</v>
      </c>
      <c r="H4444" t="n">
        <v>0</v>
      </c>
      <c r="I4444" t="n">
        <v>0</v>
      </c>
      <c r="J4444" t="n">
        <v>0</v>
      </c>
      <c r="K4444" t="n">
        <v>0</v>
      </c>
      <c r="L4444" t="n">
        <v>0</v>
      </c>
      <c r="M4444" t="n">
        <v>0</v>
      </c>
      <c r="N4444" t="n">
        <v>0</v>
      </c>
      <c r="O4444" t="n">
        <v>0</v>
      </c>
      <c r="P4444" t="n">
        <v>0</v>
      </c>
      <c r="Q4444" t="n">
        <v>0</v>
      </c>
      <c r="R4444" s="2" t="inlineStr"/>
    </row>
    <row r="4445" ht="15" customHeight="1">
      <c r="A4445" t="inlineStr">
        <is>
          <t>A 47352-2025</t>
        </is>
      </c>
      <c r="B4445" s="1" t="n">
        <v>45930</v>
      </c>
      <c r="C4445" s="1" t="n">
        <v>45962</v>
      </c>
      <c r="D4445" t="inlineStr">
        <is>
          <t>SKÅNE LÄN</t>
        </is>
      </c>
      <c r="E4445" t="inlineStr">
        <is>
          <t>HÄSSLEHOLM</t>
        </is>
      </c>
      <c r="G4445" t="n">
        <v>16.6</v>
      </c>
      <c r="H4445" t="n">
        <v>0</v>
      </c>
      <c r="I4445" t="n">
        <v>0</v>
      </c>
      <c r="J4445" t="n">
        <v>0</v>
      </c>
      <c r="K4445" t="n">
        <v>0</v>
      </c>
      <c r="L4445" t="n">
        <v>0</v>
      </c>
      <c r="M4445" t="n">
        <v>0</v>
      </c>
      <c r="N4445" t="n">
        <v>0</v>
      </c>
      <c r="O4445" t="n">
        <v>0</v>
      </c>
      <c r="P4445" t="n">
        <v>0</v>
      </c>
      <c r="Q4445" t="n">
        <v>0</v>
      </c>
      <c r="R4445" s="2" t="inlineStr"/>
    </row>
    <row r="4446" ht="15" customHeight="1">
      <c r="A4446" t="inlineStr">
        <is>
          <t>A 39366-2025</t>
        </is>
      </c>
      <c r="B4446" s="1" t="n">
        <v>45889</v>
      </c>
      <c r="C4446" s="1" t="n">
        <v>45962</v>
      </c>
      <c r="D4446" t="inlineStr">
        <is>
          <t>SKÅNE LÄN</t>
        </is>
      </c>
      <c r="E4446" t="inlineStr">
        <is>
          <t>HÄSSLEHOLM</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11721-2025</t>
        </is>
      </c>
      <c r="B4447" s="1" t="n">
        <v>45727.61193287037</v>
      </c>
      <c r="C4447" s="1" t="n">
        <v>45962</v>
      </c>
      <c r="D4447" t="inlineStr">
        <is>
          <t>SKÅNE LÄN</t>
        </is>
      </c>
      <c r="E4447" t="inlineStr">
        <is>
          <t>KRISTIANSTAD</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29816-2025</t>
        </is>
      </c>
      <c r="B4448" s="1" t="n">
        <v>45825.83328703704</v>
      </c>
      <c r="C4448" s="1" t="n">
        <v>45962</v>
      </c>
      <c r="D4448" t="inlineStr">
        <is>
          <t>SKÅNE LÄN</t>
        </is>
      </c>
      <c r="E4448" t="inlineStr">
        <is>
          <t>SJÖBO</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42912-2024</t>
        </is>
      </c>
      <c r="B4449" s="1" t="n">
        <v>45566</v>
      </c>
      <c r="C4449" s="1" t="n">
        <v>45962</v>
      </c>
      <c r="D4449" t="inlineStr">
        <is>
          <t>SKÅNE LÄN</t>
        </is>
      </c>
      <c r="E4449" t="inlineStr">
        <is>
          <t>BROMÖLLA</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34631-2025</t>
        </is>
      </c>
      <c r="B4450" s="1" t="n">
        <v>45848.26144675926</v>
      </c>
      <c r="C4450" s="1" t="n">
        <v>45962</v>
      </c>
      <c r="D4450" t="inlineStr">
        <is>
          <t>SKÅNE LÄN</t>
        </is>
      </c>
      <c r="E4450" t="inlineStr">
        <is>
          <t>ÖRKELLJUNGA</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62350-2023</t>
        </is>
      </c>
      <c r="B4451" s="1" t="n">
        <v>45267</v>
      </c>
      <c r="C4451" s="1" t="n">
        <v>45962</v>
      </c>
      <c r="D4451" t="inlineStr">
        <is>
          <t>SKÅNE LÄN</t>
        </is>
      </c>
      <c r="E4451" t="inlineStr">
        <is>
          <t>KRISTIANSTAD</t>
        </is>
      </c>
      <c r="F4451" t="inlineStr">
        <is>
          <t>Sveaskog</t>
        </is>
      </c>
      <c r="G4451" t="n">
        <v>1.4</v>
      </c>
      <c r="H4451" t="n">
        <v>0</v>
      </c>
      <c r="I4451" t="n">
        <v>0</v>
      </c>
      <c r="J4451" t="n">
        <v>0</v>
      </c>
      <c r="K4451" t="n">
        <v>0</v>
      </c>
      <c r="L4451" t="n">
        <v>0</v>
      </c>
      <c r="M4451" t="n">
        <v>0</v>
      </c>
      <c r="N4451" t="n">
        <v>0</v>
      </c>
      <c r="O4451" t="n">
        <v>0</v>
      </c>
      <c r="P4451" t="n">
        <v>0</v>
      </c>
      <c r="Q4451" t="n">
        <v>0</v>
      </c>
      <c r="R4451" s="2" t="inlineStr"/>
    </row>
    <row r="4452" ht="15" customHeight="1">
      <c r="A4452" t="inlineStr">
        <is>
          <t>A 34632-2025</t>
        </is>
      </c>
      <c r="B4452" s="1" t="n">
        <v>45848.26725694445</v>
      </c>
      <c r="C4452" s="1" t="n">
        <v>45962</v>
      </c>
      <c r="D4452" t="inlineStr">
        <is>
          <t>SKÅNE LÄN</t>
        </is>
      </c>
      <c r="E4452" t="inlineStr">
        <is>
          <t>ÖRKELLJUNGA</t>
        </is>
      </c>
      <c r="G4452" t="n">
        <v>1.4</v>
      </c>
      <c r="H4452" t="n">
        <v>0</v>
      </c>
      <c r="I4452" t="n">
        <v>0</v>
      </c>
      <c r="J4452" t="n">
        <v>0</v>
      </c>
      <c r="K4452" t="n">
        <v>0</v>
      </c>
      <c r="L4452" t="n">
        <v>0</v>
      </c>
      <c r="M4452" t="n">
        <v>0</v>
      </c>
      <c r="N4452" t="n">
        <v>0</v>
      </c>
      <c r="O4452" t="n">
        <v>0</v>
      </c>
      <c r="P4452" t="n">
        <v>0</v>
      </c>
      <c r="Q4452" t="n">
        <v>0</v>
      </c>
      <c r="R4452" s="2" t="inlineStr"/>
    </row>
    <row r="4453" ht="15" customHeight="1">
      <c r="A4453" t="inlineStr">
        <is>
          <t>A 30762-2025</t>
        </is>
      </c>
      <c r="B4453" s="1" t="n">
        <v>45831.6021875</v>
      </c>
      <c r="C4453" s="1" t="n">
        <v>45962</v>
      </c>
      <c r="D4453" t="inlineStr">
        <is>
          <t>SKÅNE LÄN</t>
        </is>
      </c>
      <c r="E4453" t="inlineStr">
        <is>
          <t>KRISTIANSTAD</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34633-2025</t>
        </is>
      </c>
      <c r="B4454" s="1" t="n">
        <v>45848.27251157408</v>
      </c>
      <c r="C4454" s="1" t="n">
        <v>45962</v>
      </c>
      <c r="D4454" t="inlineStr">
        <is>
          <t>SKÅNE LÄN</t>
        </is>
      </c>
      <c r="E4454" t="inlineStr">
        <is>
          <t>ÖRKELLJUNGA</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14471-2024</t>
        </is>
      </c>
      <c r="B4455" s="1" t="n">
        <v>45394</v>
      </c>
      <c r="C4455" s="1" t="n">
        <v>45962</v>
      </c>
      <c r="D4455" t="inlineStr">
        <is>
          <t>SKÅNE LÄN</t>
        </is>
      </c>
      <c r="E4455" t="inlineStr">
        <is>
          <t>KRISTIANSTAD</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14674-2024</t>
        </is>
      </c>
      <c r="B4456" s="1" t="n">
        <v>45397</v>
      </c>
      <c r="C4456" s="1" t="n">
        <v>45962</v>
      </c>
      <c r="D4456" t="inlineStr">
        <is>
          <t>SKÅNE LÄN</t>
        </is>
      </c>
      <c r="E4456" t="inlineStr">
        <is>
          <t>BJUV</t>
        </is>
      </c>
      <c r="G4456" t="n">
        <v>4.8</v>
      </c>
      <c r="H4456" t="n">
        <v>0</v>
      </c>
      <c r="I4456" t="n">
        <v>0</v>
      </c>
      <c r="J4456" t="n">
        <v>0</v>
      </c>
      <c r="K4456" t="n">
        <v>0</v>
      </c>
      <c r="L4456" t="n">
        <v>0</v>
      </c>
      <c r="M4456" t="n">
        <v>0</v>
      </c>
      <c r="N4456" t="n">
        <v>0</v>
      </c>
      <c r="O4456" t="n">
        <v>0</v>
      </c>
      <c r="P4456" t="n">
        <v>0</v>
      </c>
      <c r="Q4456" t="n">
        <v>0</v>
      </c>
      <c r="R4456" s="2" t="inlineStr"/>
    </row>
    <row r="4457" ht="15" customHeight="1">
      <c r="A4457" t="inlineStr">
        <is>
          <t>A 26721-2022</t>
        </is>
      </c>
      <c r="B4457" s="1" t="n">
        <v>44739.92146990741</v>
      </c>
      <c r="C4457" s="1" t="n">
        <v>45962</v>
      </c>
      <c r="D4457" t="inlineStr">
        <is>
          <t>SKÅNE LÄN</t>
        </is>
      </c>
      <c r="E4457" t="inlineStr">
        <is>
          <t>ÖSTRA GÖINGE</t>
        </is>
      </c>
      <c r="G4457" t="n">
        <v>2</v>
      </c>
      <c r="H4457" t="n">
        <v>0</v>
      </c>
      <c r="I4457" t="n">
        <v>0</v>
      </c>
      <c r="J4457" t="n">
        <v>0</v>
      </c>
      <c r="K4457" t="n">
        <v>0</v>
      </c>
      <c r="L4457" t="n">
        <v>0</v>
      </c>
      <c r="M4457" t="n">
        <v>0</v>
      </c>
      <c r="N4457" t="n">
        <v>0</v>
      </c>
      <c r="O4457" t="n">
        <v>0</v>
      </c>
      <c r="P4457" t="n">
        <v>0</v>
      </c>
      <c r="Q4457" t="n">
        <v>0</v>
      </c>
      <c r="R4457" s="2" t="inlineStr"/>
    </row>
    <row r="4458" ht="15" customHeight="1">
      <c r="A4458" t="inlineStr">
        <is>
          <t>A 16121-2025</t>
        </is>
      </c>
      <c r="B4458" s="1" t="n">
        <v>45750.40384259259</v>
      </c>
      <c r="C4458" s="1" t="n">
        <v>45962</v>
      </c>
      <c r="D4458" t="inlineStr">
        <is>
          <t>SKÅNE LÄN</t>
        </is>
      </c>
      <c r="E4458" t="inlineStr">
        <is>
          <t>HÄSSLEHOLM</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50357-2021</t>
        </is>
      </c>
      <c r="B4459" s="1" t="n">
        <v>44455</v>
      </c>
      <c r="C4459" s="1" t="n">
        <v>45962</v>
      </c>
      <c r="D4459" t="inlineStr">
        <is>
          <t>SKÅNE LÄN</t>
        </is>
      </c>
      <c r="E4459" t="inlineStr">
        <is>
          <t>KLIPPAN</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47334-2025</t>
        </is>
      </c>
      <c r="B4460" s="1" t="n">
        <v>45930.56465277778</v>
      </c>
      <c r="C4460" s="1" t="n">
        <v>45962</v>
      </c>
      <c r="D4460" t="inlineStr">
        <is>
          <t>SKÅNE LÄN</t>
        </is>
      </c>
      <c r="E4460" t="inlineStr">
        <is>
          <t>OSBY</t>
        </is>
      </c>
      <c r="G4460" t="n">
        <v>2.4</v>
      </c>
      <c r="H4460" t="n">
        <v>0</v>
      </c>
      <c r="I4460" t="n">
        <v>0</v>
      </c>
      <c r="J4460" t="n">
        <v>0</v>
      </c>
      <c r="K4460" t="n">
        <v>0</v>
      </c>
      <c r="L4460" t="n">
        <v>0</v>
      </c>
      <c r="M4460" t="n">
        <v>0</v>
      </c>
      <c r="N4460" t="n">
        <v>0</v>
      </c>
      <c r="O4460" t="n">
        <v>0</v>
      </c>
      <c r="P4460" t="n">
        <v>0</v>
      </c>
      <c r="Q4460" t="n">
        <v>0</v>
      </c>
      <c r="R4460" s="2" t="inlineStr"/>
    </row>
    <row r="4461" ht="15" customHeight="1">
      <c r="A4461" t="inlineStr">
        <is>
          <t>A 47345-2025</t>
        </is>
      </c>
      <c r="B4461" s="1" t="n">
        <v>45930.57266203704</v>
      </c>
      <c r="C4461" s="1" t="n">
        <v>45962</v>
      </c>
      <c r="D4461" t="inlineStr">
        <is>
          <t>SKÅNE LÄN</t>
        </is>
      </c>
      <c r="E4461" t="inlineStr">
        <is>
          <t>ESLÖV</t>
        </is>
      </c>
      <c r="G4461" t="n">
        <v>0.7</v>
      </c>
      <c r="H4461" t="n">
        <v>0</v>
      </c>
      <c r="I4461" t="n">
        <v>0</v>
      </c>
      <c r="J4461" t="n">
        <v>0</v>
      </c>
      <c r="K4461" t="n">
        <v>0</v>
      </c>
      <c r="L4461" t="n">
        <v>0</v>
      </c>
      <c r="M4461" t="n">
        <v>0</v>
      </c>
      <c r="N4461" t="n">
        <v>0</v>
      </c>
      <c r="O4461" t="n">
        <v>0</v>
      </c>
      <c r="P4461" t="n">
        <v>0</v>
      </c>
      <c r="Q4461" t="n">
        <v>0</v>
      </c>
      <c r="R4461" s="2" t="inlineStr"/>
    </row>
    <row r="4462" ht="15" customHeight="1">
      <c r="A4462" t="inlineStr">
        <is>
          <t>A 46123-2024</t>
        </is>
      </c>
      <c r="B4462" s="1" t="n">
        <v>45581.41429398148</v>
      </c>
      <c r="C4462" s="1" t="n">
        <v>45962</v>
      </c>
      <c r="D4462" t="inlineStr">
        <is>
          <t>SKÅNE LÄN</t>
        </is>
      </c>
      <c r="E4462" t="inlineStr">
        <is>
          <t>KRISTIANSTAD</t>
        </is>
      </c>
      <c r="F4462" t="inlineStr">
        <is>
          <t>Övriga Aktiebolag</t>
        </is>
      </c>
      <c r="G4462" t="n">
        <v>6.6</v>
      </c>
      <c r="H4462" t="n">
        <v>0</v>
      </c>
      <c r="I4462" t="n">
        <v>0</v>
      </c>
      <c r="J4462" t="n">
        <v>0</v>
      </c>
      <c r="K4462" t="n">
        <v>0</v>
      </c>
      <c r="L4462" t="n">
        <v>0</v>
      </c>
      <c r="M4462" t="n">
        <v>0</v>
      </c>
      <c r="N4462" t="n">
        <v>0</v>
      </c>
      <c r="O4462" t="n">
        <v>0</v>
      </c>
      <c r="P4462" t="n">
        <v>0</v>
      </c>
      <c r="Q4462" t="n">
        <v>0</v>
      </c>
      <c r="R4462" s="2" t="inlineStr"/>
    </row>
    <row r="4463" ht="15" customHeight="1">
      <c r="A4463" t="inlineStr">
        <is>
          <t>A 6545-2023</t>
        </is>
      </c>
      <c r="B4463" s="1" t="n">
        <v>44960</v>
      </c>
      <c r="C4463" s="1" t="n">
        <v>45962</v>
      </c>
      <c r="D4463" t="inlineStr">
        <is>
          <t>SKÅNE LÄN</t>
        </is>
      </c>
      <c r="E4463" t="inlineStr">
        <is>
          <t>ESLÖV</t>
        </is>
      </c>
      <c r="G4463" t="n">
        <v>4.1</v>
      </c>
      <c r="H4463" t="n">
        <v>0</v>
      </c>
      <c r="I4463" t="n">
        <v>0</v>
      </c>
      <c r="J4463" t="n">
        <v>0</v>
      </c>
      <c r="K4463" t="n">
        <v>0</v>
      </c>
      <c r="L4463" t="n">
        <v>0</v>
      </c>
      <c r="M4463" t="n">
        <v>0</v>
      </c>
      <c r="N4463" t="n">
        <v>0</v>
      </c>
      <c r="O4463" t="n">
        <v>0</v>
      </c>
      <c r="P4463" t="n">
        <v>0</v>
      </c>
      <c r="Q4463" t="n">
        <v>0</v>
      </c>
      <c r="R4463" s="2" t="inlineStr"/>
    </row>
    <row r="4464" ht="15" customHeight="1">
      <c r="A4464" t="inlineStr">
        <is>
          <t>A 11446-2025</t>
        </is>
      </c>
      <c r="B4464" s="1" t="n">
        <v>45726</v>
      </c>
      <c r="C4464" s="1" t="n">
        <v>45962</v>
      </c>
      <c r="D4464" t="inlineStr">
        <is>
          <t>SKÅNE LÄN</t>
        </is>
      </c>
      <c r="E4464" t="inlineStr">
        <is>
          <t>HÄSSLEHOLM</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27538-2021</t>
        </is>
      </c>
      <c r="B4465" s="1" t="n">
        <v>44351.67984953704</v>
      </c>
      <c r="C4465" s="1" t="n">
        <v>45962</v>
      </c>
      <c r="D4465" t="inlineStr">
        <is>
          <t>SKÅNE LÄN</t>
        </is>
      </c>
      <c r="E4465" t="inlineStr">
        <is>
          <t>KLIPPAN</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46925-2025</t>
        </is>
      </c>
      <c r="B4466" s="1" t="n">
        <v>45929</v>
      </c>
      <c r="C4466" s="1" t="n">
        <v>45962</v>
      </c>
      <c r="D4466" t="inlineStr">
        <is>
          <t>SKÅNE LÄN</t>
        </is>
      </c>
      <c r="E4466" t="inlineStr">
        <is>
          <t>KRISTIANSTAD</t>
        </is>
      </c>
      <c r="G4466" t="n">
        <v>2.3</v>
      </c>
      <c r="H4466" t="n">
        <v>0</v>
      </c>
      <c r="I4466" t="n">
        <v>0</v>
      </c>
      <c r="J4466" t="n">
        <v>0</v>
      </c>
      <c r="K4466" t="n">
        <v>0</v>
      </c>
      <c r="L4466" t="n">
        <v>0</v>
      </c>
      <c r="M4466" t="n">
        <v>0</v>
      </c>
      <c r="N4466" t="n">
        <v>0</v>
      </c>
      <c r="O4466" t="n">
        <v>0</v>
      </c>
      <c r="P4466" t="n">
        <v>0</v>
      </c>
      <c r="Q4466" t="n">
        <v>0</v>
      </c>
      <c r="R4466" s="2" t="inlineStr"/>
    </row>
    <row r="4467" ht="15" customHeight="1">
      <c r="A4467" t="inlineStr">
        <is>
          <t>A 11555-2022</t>
        </is>
      </c>
      <c r="B4467" s="1" t="n">
        <v>44631.45570601852</v>
      </c>
      <c r="C4467" s="1" t="n">
        <v>45962</v>
      </c>
      <c r="D4467" t="inlineStr">
        <is>
          <t>SKÅNE LÄN</t>
        </is>
      </c>
      <c r="E4467" t="inlineStr">
        <is>
          <t>OSBY</t>
        </is>
      </c>
      <c r="F4467" t="inlineStr">
        <is>
          <t>Sveaskog</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25552-2025</t>
        </is>
      </c>
      <c r="B4468" s="1" t="n">
        <v>45803</v>
      </c>
      <c r="C4468" s="1" t="n">
        <v>45962</v>
      </c>
      <c r="D4468" t="inlineStr">
        <is>
          <t>SKÅNE LÄN</t>
        </is>
      </c>
      <c r="E4468" t="inlineStr">
        <is>
          <t>HÖRBY</t>
        </is>
      </c>
      <c r="G4468" t="n">
        <v>2</v>
      </c>
      <c r="H4468" t="n">
        <v>0</v>
      </c>
      <c r="I4468" t="n">
        <v>0</v>
      </c>
      <c r="J4468" t="n">
        <v>0</v>
      </c>
      <c r="K4468" t="n">
        <v>0</v>
      </c>
      <c r="L4468" t="n">
        <v>0</v>
      </c>
      <c r="M4468" t="n">
        <v>0</v>
      </c>
      <c r="N4468" t="n">
        <v>0</v>
      </c>
      <c r="O4468" t="n">
        <v>0</v>
      </c>
      <c r="P4468" t="n">
        <v>0</v>
      </c>
      <c r="Q4468" t="n">
        <v>0</v>
      </c>
      <c r="R4468" s="2" t="inlineStr"/>
    </row>
    <row r="4469" ht="15" customHeight="1">
      <c r="A4469" t="inlineStr">
        <is>
          <t>A 37189-2025</t>
        </is>
      </c>
      <c r="B4469" s="1" t="n">
        <v>45875</v>
      </c>
      <c r="C4469" s="1" t="n">
        <v>45962</v>
      </c>
      <c r="D4469" t="inlineStr">
        <is>
          <t>SKÅNE LÄN</t>
        </is>
      </c>
      <c r="E4469" t="inlineStr">
        <is>
          <t>SIMRISHAMN</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46855-2025</t>
        </is>
      </c>
      <c r="B4470" s="1" t="n">
        <v>45928.88497685185</v>
      </c>
      <c r="C4470" s="1" t="n">
        <v>45962</v>
      </c>
      <c r="D4470" t="inlineStr">
        <is>
          <t>SKÅNE LÄN</t>
        </is>
      </c>
      <c r="E4470" t="inlineStr">
        <is>
          <t>HÄSSLEHOLM</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37052-2025</t>
        </is>
      </c>
      <c r="B4471" s="1" t="n">
        <v>45875</v>
      </c>
      <c r="C4471" s="1" t="n">
        <v>45962</v>
      </c>
      <c r="D4471" t="inlineStr">
        <is>
          <t>SKÅNE LÄN</t>
        </is>
      </c>
      <c r="E4471" t="inlineStr">
        <is>
          <t>SIMRISHAMN</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61620-2022</t>
        </is>
      </c>
      <c r="B4472" s="1" t="n">
        <v>44910</v>
      </c>
      <c r="C4472" s="1" t="n">
        <v>45962</v>
      </c>
      <c r="D4472" t="inlineStr">
        <is>
          <t>SKÅNE LÄN</t>
        </is>
      </c>
      <c r="E4472" t="inlineStr">
        <is>
          <t>SVALÖV</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1744-2024</t>
        </is>
      </c>
      <c r="B4473" s="1" t="n">
        <v>45307</v>
      </c>
      <c r="C4473" s="1" t="n">
        <v>45962</v>
      </c>
      <c r="D4473" t="inlineStr">
        <is>
          <t>SKÅNE LÄN</t>
        </is>
      </c>
      <c r="E4473" t="inlineStr">
        <is>
          <t>KRISTIANSTAD</t>
        </is>
      </c>
      <c r="G4473" t="n">
        <v>3.9</v>
      </c>
      <c r="H4473" t="n">
        <v>0</v>
      </c>
      <c r="I4473" t="n">
        <v>0</v>
      </c>
      <c r="J4473" t="n">
        <v>0</v>
      </c>
      <c r="K4473" t="n">
        <v>0</v>
      </c>
      <c r="L4473" t="n">
        <v>0</v>
      </c>
      <c r="M4473" t="n">
        <v>0</v>
      </c>
      <c r="N4473" t="n">
        <v>0</v>
      </c>
      <c r="O4473" t="n">
        <v>0</v>
      </c>
      <c r="P4473" t="n">
        <v>0</v>
      </c>
      <c r="Q4473" t="n">
        <v>0</v>
      </c>
      <c r="R4473" s="2" t="inlineStr"/>
    </row>
    <row r="4474" ht="15" customHeight="1">
      <c r="A4474" t="inlineStr">
        <is>
          <t>A 4487-2024</t>
        </is>
      </c>
      <c r="B4474" s="1" t="n">
        <v>45327</v>
      </c>
      <c r="C4474" s="1" t="n">
        <v>45962</v>
      </c>
      <c r="D4474" t="inlineStr">
        <is>
          <t>SKÅNE LÄN</t>
        </is>
      </c>
      <c r="E4474" t="inlineStr">
        <is>
          <t>BÅSTAD</t>
        </is>
      </c>
      <c r="G4474" t="n">
        <v>1.9</v>
      </c>
      <c r="H4474" t="n">
        <v>0</v>
      </c>
      <c r="I4474" t="n">
        <v>0</v>
      </c>
      <c r="J4474" t="n">
        <v>0</v>
      </c>
      <c r="K4474" t="n">
        <v>0</v>
      </c>
      <c r="L4474" t="n">
        <v>0</v>
      </c>
      <c r="M4474" t="n">
        <v>0</v>
      </c>
      <c r="N4474" t="n">
        <v>0</v>
      </c>
      <c r="O4474" t="n">
        <v>0</v>
      </c>
      <c r="P4474" t="n">
        <v>0</v>
      </c>
      <c r="Q4474" t="n">
        <v>0</v>
      </c>
      <c r="R4474" s="2" t="inlineStr"/>
    </row>
    <row r="4475" ht="15" customHeight="1">
      <c r="A4475" t="inlineStr">
        <is>
          <t>A 5190-2024</t>
        </is>
      </c>
      <c r="B4475" s="1" t="n">
        <v>45330</v>
      </c>
      <c r="C4475" s="1" t="n">
        <v>45962</v>
      </c>
      <c r="D4475" t="inlineStr">
        <is>
          <t>SKÅNE LÄN</t>
        </is>
      </c>
      <c r="E4475" t="inlineStr">
        <is>
          <t>SVALÖV</t>
        </is>
      </c>
      <c r="G4475" t="n">
        <v>2.1</v>
      </c>
      <c r="H4475" t="n">
        <v>0</v>
      </c>
      <c r="I4475" t="n">
        <v>0</v>
      </c>
      <c r="J4475" t="n">
        <v>0</v>
      </c>
      <c r="K4475" t="n">
        <v>0</v>
      </c>
      <c r="L4475" t="n">
        <v>0</v>
      </c>
      <c r="M4475" t="n">
        <v>0</v>
      </c>
      <c r="N4475" t="n">
        <v>0</v>
      </c>
      <c r="O4475" t="n">
        <v>0</v>
      </c>
      <c r="P4475" t="n">
        <v>0</v>
      </c>
      <c r="Q4475" t="n">
        <v>0</v>
      </c>
      <c r="R4475" s="2" t="inlineStr"/>
    </row>
    <row r="4476" ht="15" customHeight="1">
      <c r="A4476" t="inlineStr">
        <is>
          <t>A 36906-2025</t>
        </is>
      </c>
      <c r="B4476" s="1" t="n">
        <v>45874.49202546296</v>
      </c>
      <c r="C4476" s="1" t="n">
        <v>45962</v>
      </c>
      <c r="D4476" t="inlineStr">
        <is>
          <t>SKÅNE LÄN</t>
        </is>
      </c>
      <c r="E4476" t="inlineStr">
        <is>
          <t>KRISTIANSTAD</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36914-2025</t>
        </is>
      </c>
      <c r="B4477" s="1" t="n">
        <v>45874.49907407408</v>
      </c>
      <c r="C4477" s="1" t="n">
        <v>45962</v>
      </c>
      <c r="D4477" t="inlineStr">
        <is>
          <t>SKÅNE LÄN</t>
        </is>
      </c>
      <c r="E4477" t="inlineStr">
        <is>
          <t>KRISTIANSTAD</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31847-2023</t>
        </is>
      </c>
      <c r="B4478" s="1" t="n">
        <v>45106</v>
      </c>
      <c r="C4478" s="1" t="n">
        <v>45962</v>
      </c>
      <c r="D4478" t="inlineStr">
        <is>
          <t>SKÅNE LÄN</t>
        </is>
      </c>
      <c r="E4478" t="inlineStr">
        <is>
          <t>KRISTIANSTAD</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31907-2023</t>
        </is>
      </c>
      <c r="B4479" s="1" t="n">
        <v>45118</v>
      </c>
      <c r="C4479" s="1" t="n">
        <v>45962</v>
      </c>
      <c r="D4479" t="inlineStr">
        <is>
          <t>SKÅNE LÄN</t>
        </is>
      </c>
      <c r="E4479" t="inlineStr">
        <is>
          <t>ÄNGELHOLM</t>
        </is>
      </c>
      <c r="G4479" t="n">
        <v>5.3</v>
      </c>
      <c r="H4479" t="n">
        <v>0</v>
      </c>
      <c r="I4479" t="n">
        <v>0</v>
      </c>
      <c r="J4479" t="n">
        <v>0</v>
      </c>
      <c r="K4479" t="n">
        <v>0</v>
      </c>
      <c r="L4479" t="n">
        <v>0</v>
      </c>
      <c r="M4479" t="n">
        <v>0</v>
      </c>
      <c r="N4479" t="n">
        <v>0</v>
      </c>
      <c r="O4479" t="n">
        <v>0</v>
      </c>
      <c r="P4479" t="n">
        <v>0</v>
      </c>
      <c r="Q4479" t="n">
        <v>0</v>
      </c>
      <c r="R4479" s="2" t="inlineStr"/>
    </row>
    <row r="4480" ht="15" customHeight="1">
      <c r="A4480" t="inlineStr">
        <is>
          <t>A 28335-2024</t>
        </is>
      </c>
      <c r="B4480" s="1" t="n">
        <v>45477</v>
      </c>
      <c r="C4480" s="1" t="n">
        <v>45962</v>
      </c>
      <c r="D4480" t="inlineStr">
        <is>
          <t>SKÅNE LÄN</t>
        </is>
      </c>
      <c r="E4480" t="inlineStr">
        <is>
          <t>HÖÖR</t>
        </is>
      </c>
      <c r="G4480" t="n">
        <v>3</v>
      </c>
      <c r="H4480" t="n">
        <v>0</v>
      </c>
      <c r="I4480" t="n">
        <v>0</v>
      </c>
      <c r="J4480" t="n">
        <v>0</v>
      </c>
      <c r="K4480" t="n">
        <v>0</v>
      </c>
      <c r="L4480" t="n">
        <v>0</v>
      </c>
      <c r="M4480" t="n">
        <v>0</v>
      </c>
      <c r="N4480" t="n">
        <v>0</v>
      </c>
      <c r="O4480" t="n">
        <v>0</v>
      </c>
      <c r="P4480" t="n">
        <v>0</v>
      </c>
      <c r="Q4480" t="n">
        <v>0</v>
      </c>
      <c r="R4480" s="2" t="inlineStr"/>
    </row>
    <row r="4481" ht="15" customHeight="1">
      <c r="A4481" t="inlineStr">
        <is>
          <t>A 37140-2025</t>
        </is>
      </c>
      <c r="B4481" s="1" t="n">
        <v>45874</v>
      </c>
      <c r="C4481" s="1" t="n">
        <v>45962</v>
      </c>
      <c r="D4481" t="inlineStr">
        <is>
          <t>SKÅNE LÄN</t>
        </is>
      </c>
      <c r="E4481" t="inlineStr">
        <is>
          <t>KRISTIANSTAD</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64224-2023</t>
        </is>
      </c>
      <c r="B4482" s="1" t="n">
        <v>45279</v>
      </c>
      <c r="C4482" s="1" t="n">
        <v>45962</v>
      </c>
      <c r="D4482" t="inlineStr">
        <is>
          <t>SKÅNE LÄN</t>
        </is>
      </c>
      <c r="E4482" t="inlineStr">
        <is>
          <t>KLIPPAN</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36912-2025</t>
        </is>
      </c>
      <c r="B4483" s="1" t="n">
        <v>45874.49726851852</v>
      </c>
      <c r="C4483" s="1" t="n">
        <v>45962</v>
      </c>
      <c r="D4483" t="inlineStr">
        <is>
          <t>SKÅNE LÄN</t>
        </is>
      </c>
      <c r="E4483" t="inlineStr">
        <is>
          <t>KRISTIANSTAD</t>
        </is>
      </c>
      <c r="G4483" t="n">
        <v>4.6</v>
      </c>
      <c r="H4483" t="n">
        <v>0</v>
      </c>
      <c r="I4483" t="n">
        <v>0</v>
      </c>
      <c r="J4483" t="n">
        <v>0</v>
      </c>
      <c r="K4483" t="n">
        <v>0</v>
      </c>
      <c r="L4483" t="n">
        <v>0</v>
      </c>
      <c r="M4483" t="n">
        <v>0</v>
      </c>
      <c r="N4483" t="n">
        <v>0</v>
      </c>
      <c r="O4483" t="n">
        <v>0</v>
      </c>
      <c r="P4483" t="n">
        <v>0</v>
      </c>
      <c r="Q4483" t="n">
        <v>0</v>
      </c>
      <c r="R4483" s="2" t="inlineStr"/>
    </row>
    <row r="4484" ht="15" customHeight="1">
      <c r="A4484" t="inlineStr">
        <is>
          <t>A 36915-2025</t>
        </is>
      </c>
      <c r="B4484" s="1" t="n">
        <v>45874.50575231481</v>
      </c>
      <c r="C4484" s="1" t="n">
        <v>45962</v>
      </c>
      <c r="D4484" t="inlineStr">
        <is>
          <t>SKÅNE LÄN</t>
        </is>
      </c>
      <c r="E4484" t="inlineStr">
        <is>
          <t>KRISTIANSTAD</t>
        </is>
      </c>
      <c r="G4484" t="n">
        <v>6.9</v>
      </c>
      <c r="H4484" t="n">
        <v>0</v>
      </c>
      <c r="I4484" t="n">
        <v>0</v>
      </c>
      <c r="J4484" t="n">
        <v>0</v>
      </c>
      <c r="K4484" t="n">
        <v>0</v>
      </c>
      <c r="L4484" t="n">
        <v>0</v>
      </c>
      <c r="M4484" t="n">
        <v>0</v>
      </c>
      <c r="N4484" t="n">
        <v>0</v>
      </c>
      <c r="O4484" t="n">
        <v>0</v>
      </c>
      <c r="P4484" t="n">
        <v>0</v>
      </c>
      <c r="Q4484" t="n">
        <v>0</v>
      </c>
      <c r="R4484" s="2" t="inlineStr"/>
    </row>
    <row r="4485" ht="15" customHeight="1">
      <c r="A4485" t="inlineStr">
        <is>
          <t>A 36956-2025</t>
        </is>
      </c>
      <c r="B4485" s="1" t="n">
        <v>45874.61452546297</v>
      </c>
      <c r="C4485" s="1" t="n">
        <v>45962</v>
      </c>
      <c r="D4485" t="inlineStr">
        <is>
          <t>SKÅNE LÄN</t>
        </is>
      </c>
      <c r="E4485" t="inlineStr">
        <is>
          <t>KRISTIANSTAD</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34514-2023</t>
        </is>
      </c>
      <c r="B4486" s="1" t="n">
        <v>45140.38099537037</v>
      </c>
      <c r="C4486" s="1" t="n">
        <v>45962</v>
      </c>
      <c r="D4486" t="inlineStr">
        <is>
          <t>SKÅNE LÄN</t>
        </is>
      </c>
      <c r="E4486" t="inlineStr">
        <is>
          <t>ÄNGELHOLM</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3000-2021</t>
        </is>
      </c>
      <c r="B4487" s="1" t="n">
        <v>44216</v>
      </c>
      <c r="C4487" s="1" t="n">
        <v>45962</v>
      </c>
      <c r="D4487" t="inlineStr">
        <is>
          <t>SKÅNE LÄN</t>
        </is>
      </c>
      <c r="E4487" t="inlineStr">
        <is>
          <t>ÖRKELLJUNGA</t>
        </is>
      </c>
      <c r="F4487" t="inlineStr">
        <is>
          <t>Kyrkan</t>
        </is>
      </c>
      <c r="G4487" t="n">
        <v>2.7</v>
      </c>
      <c r="H4487" t="n">
        <v>0</v>
      </c>
      <c r="I4487" t="n">
        <v>0</v>
      </c>
      <c r="J4487" t="n">
        <v>0</v>
      </c>
      <c r="K4487" t="n">
        <v>0</v>
      </c>
      <c r="L4487" t="n">
        <v>0</v>
      </c>
      <c r="M4487" t="n">
        <v>0</v>
      </c>
      <c r="N4487" t="n">
        <v>0</v>
      </c>
      <c r="O4487" t="n">
        <v>0</v>
      </c>
      <c r="P4487" t="n">
        <v>0</v>
      </c>
      <c r="Q4487" t="n">
        <v>0</v>
      </c>
      <c r="R4487" s="2" t="inlineStr"/>
    </row>
    <row r="4488" ht="15" customHeight="1">
      <c r="A4488" t="inlineStr">
        <is>
          <t>A 36916-2025</t>
        </is>
      </c>
      <c r="B4488" s="1" t="n">
        <v>45874.50697916667</v>
      </c>
      <c r="C4488" s="1" t="n">
        <v>45962</v>
      </c>
      <c r="D4488" t="inlineStr">
        <is>
          <t>SKÅNE LÄN</t>
        </is>
      </c>
      <c r="E4488" t="inlineStr">
        <is>
          <t>KRISTIANSTAD</t>
        </is>
      </c>
      <c r="G4488" t="n">
        <v>5.7</v>
      </c>
      <c r="H4488" t="n">
        <v>0</v>
      </c>
      <c r="I4488" t="n">
        <v>0</v>
      </c>
      <c r="J4488" t="n">
        <v>0</v>
      </c>
      <c r="K4488" t="n">
        <v>0</v>
      </c>
      <c r="L4488" t="n">
        <v>0</v>
      </c>
      <c r="M4488" t="n">
        <v>0</v>
      </c>
      <c r="N4488" t="n">
        <v>0</v>
      </c>
      <c r="O4488" t="n">
        <v>0</v>
      </c>
      <c r="P4488" t="n">
        <v>0</v>
      </c>
      <c r="Q4488" t="n">
        <v>0</v>
      </c>
      <c r="R4488" s="2" t="inlineStr"/>
    </row>
    <row r="4489" ht="15" customHeight="1">
      <c r="A4489" t="inlineStr">
        <is>
          <t>A 46813-2024</t>
        </is>
      </c>
      <c r="B4489" s="1" t="n">
        <v>45583</v>
      </c>
      <c r="C4489" s="1" t="n">
        <v>45962</v>
      </c>
      <c r="D4489" t="inlineStr">
        <is>
          <t>SKÅNE LÄN</t>
        </is>
      </c>
      <c r="E4489" t="inlineStr">
        <is>
          <t>HÄSSLEHOLM</t>
        </is>
      </c>
      <c r="G4489" t="n">
        <v>14.9</v>
      </c>
      <c r="H4489" t="n">
        <v>0</v>
      </c>
      <c r="I4489" t="n">
        <v>0</v>
      </c>
      <c r="J4489" t="n">
        <v>0</v>
      </c>
      <c r="K4489" t="n">
        <v>0</v>
      </c>
      <c r="L4489" t="n">
        <v>0</v>
      </c>
      <c r="M4489" t="n">
        <v>0</v>
      </c>
      <c r="N4489" t="n">
        <v>0</v>
      </c>
      <c r="O4489" t="n">
        <v>0</v>
      </c>
      <c r="P4489" t="n">
        <v>0</v>
      </c>
      <c r="Q4489" t="n">
        <v>0</v>
      </c>
      <c r="R4489" s="2" t="inlineStr"/>
    </row>
    <row r="4490" ht="15" customHeight="1">
      <c r="A4490" t="inlineStr">
        <is>
          <t>A 42293-2023</t>
        </is>
      </c>
      <c r="B4490" s="1" t="n">
        <v>45180</v>
      </c>
      <c r="C4490" s="1" t="n">
        <v>45962</v>
      </c>
      <c r="D4490" t="inlineStr">
        <is>
          <t>SKÅNE LÄN</t>
        </is>
      </c>
      <c r="E4490" t="inlineStr">
        <is>
          <t>KRISTIANSTAD</t>
        </is>
      </c>
      <c r="G4490" t="n">
        <v>0.6</v>
      </c>
      <c r="H4490" t="n">
        <v>0</v>
      </c>
      <c r="I4490" t="n">
        <v>0</v>
      </c>
      <c r="J4490" t="n">
        <v>0</v>
      </c>
      <c r="K4490" t="n">
        <v>0</v>
      </c>
      <c r="L4490" t="n">
        <v>0</v>
      </c>
      <c r="M4490" t="n">
        <v>0</v>
      </c>
      <c r="N4490" t="n">
        <v>0</v>
      </c>
      <c r="O4490" t="n">
        <v>0</v>
      </c>
      <c r="P4490" t="n">
        <v>0</v>
      </c>
      <c r="Q4490" t="n">
        <v>0</v>
      </c>
      <c r="R4490" s="2" t="inlineStr"/>
    </row>
    <row r="4491" ht="15" customHeight="1">
      <c r="A4491" t="inlineStr">
        <is>
          <t>A 37141-2025</t>
        </is>
      </c>
      <c r="B4491" s="1" t="n">
        <v>45874</v>
      </c>
      <c r="C4491" s="1" t="n">
        <v>45962</v>
      </c>
      <c r="D4491" t="inlineStr">
        <is>
          <t>SKÅNE LÄN</t>
        </is>
      </c>
      <c r="E4491" t="inlineStr">
        <is>
          <t>KRISTIANSTAD</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7955-2024</t>
        </is>
      </c>
      <c r="B4492" s="1" t="n">
        <v>45350</v>
      </c>
      <c r="C4492" s="1" t="n">
        <v>45962</v>
      </c>
      <c r="D4492" t="inlineStr">
        <is>
          <t>SKÅNE LÄN</t>
        </is>
      </c>
      <c r="E4492" t="inlineStr">
        <is>
          <t>TOMELILLA</t>
        </is>
      </c>
      <c r="G4492" t="n">
        <v>2.2</v>
      </c>
      <c r="H4492" t="n">
        <v>0</v>
      </c>
      <c r="I4492" t="n">
        <v>0</v>
      </c>
      <c r="J4492" t="n">
        <v>0</v>
      </c>
      <c r="K4492" t="n">
        <v>0</v>
      </c>
      <c r="L4492" t="n">
        <v>0</v>
      </c>
      <c r="M4492" t="n">
        <v>0</v>
      </c>
      <c r="N4492" t="n">
        <v>0</v>
      </c>
      <c r="O4492" t="n">
        <v>0</v>
      </c>
      <c r="P4492" t="n">
        <v>0</v>
      </c>
      <c r="Q4492" t="n">
        <v>0</v>
      </c>
      <c r="R4492" s="2" t="inlineStr"/>
    </row>
    <row r="4493" ht="15" customHeight="1">
      <c r="A4493" t="inlineStr">
        <is>
          <t>A 36938-2025</t>
        </is>
      </c>
      <c r="B4493" s="1" t="n">
        <v>45874.58476851852</v>
      </c>
      <c r="C4493" s="1" t="n">
        <v>45962</v>
      </c>
      <c r="D4493" t="inlineStr">
        <is>
          <t>SKÅNE LÄN</t>
        </is>
      </c>
      <c r="E4493" t="inlineStr">
        <is>
          <t>HÄSSLEHOLM</t>
        </is>
      </c>
      <c r="G4493" t="n">
        <v>3.7</v>
      </c>
      <c r="H4493" t="n">
        <v>0</v>
      </c>
      <c r="I4493" t="n">
        <v>0</v>
      </c>
      <c r="J4493" t="n">
        <v>0</v>
      </c>
      <c r="K4493" t="n">
        <v>0</v>
      </c>
      <c r="L4493" t="n">
        <v>0</v>
      </c>
      <c r="M4493" t="n">
        <v>0</v>
      </c>
      <c r="N4493" t="n">
        <v>0</v>
      </c>
      <c r="O4493" t="n">
        <v>0</v>
      </c>
      <c r="P4493" t="n">
        <v>0</v>
      </c>
      <c r="Q4493" t="n">
        <v>0</v>
      </c>
      <c r="R4493" s="2" t="inlineStr"/>
    </row>
    <row r="4494" ht="15" customHeight="1">
      <c r="A4494" t="inlineStr">
        <is>
          <t>A 39332-2025</t>
        </is>
      </c>
      <c r="B4494" s="1" t="n">
        <v>45889</v>
      </c>
      <c r="C4494" s="1" t="n">
        <v>45962</v>
      </c>
      <c r="D4494" t="inlineStr">
        <is>
          <t>SKÅNE LÄN</t>
        </is>
      </c>
      <c r="E4494" t="inlineStr">
        <is>
          <t>KRISTIANSTAD</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47178-2025</t>
        </is>
      </c>
      <c r="B4495" s="1" t="n">
        <v>45930</v>
      </c>
      <c r="C4495" s="1" t="n">
        <v>45962</v>
      </c>
      <c r="D4495" t="inlineStr">
        <is>
          <t>SKÅNE LÄN</t>
        </is>
      </c>
      <c r="E4495" t="inlineStr">
        <is>
          <t>ÖSTRA GÖINGE</t>
        </is>
      </c>
      <c r="G4495" t="n">
        <v>3.6</v>
      </c>
      <c r="H4495" t="n">
        <v>0</v>
      </c>
      <c r="I4495" t="n">
        <v>0</v>
      </c>
      <c r="J4495" t="n">
        <v>0</v>
      </c>
      <c r="K4495" t="n">
        <v>0</v>
      </c>
      <c r="L4495" t="n">
        <v>0</v>
      </c>
      <c r="M4495" t="n">
        <v>0</v>
      </c>
      <c r="N4495" t="n">
        <v>0</v>
      </c>
      <c r="O4495" t="n">
        <v>0</v>
      </c>
      <c r="P4495" t="n">
        <v>0</v>
      </c>
      <c r="Q4495" t="n">
        <v>0</v>
      </c>
      <c r="R4495" s="2" t="inlineStr"/>
    </row>
    <row r="4496" ht="15" customHeight="1">
      <c r="A4496" t="inlineStr">
        <is>
          <t>A 18908-2025</t>
        </is>
      </c>
      <c r="B4496" s="1" t="n">
        <v>45764.46326388889</v>
      </c>
      <c r="C4496" s="1" t="n">
        <v>45962</v>
      </c>
      <c r="D4496" t="inlineStr">
        <is>
          <t>SKÅNE LÄN</t>
        </is>
      </c>
      <c r="E4496" t="inlineStr">
        <is>
          <t>BROMÖLLA</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36907-2025</t>
        </is>
      </c>
      <c r="B4497" s="1" t="n">
        <v>45874.49295138889</v>
      </c>
      <c r="C4497" s="1" t="n">
        <v>45962</v>
      </c>
      <c r="D4497" t="inlineStr">
        <is>
          <t>SKÅNE LÄN</t>
        </is>
      </c>
      <c r="E4497" t="inlineStr">
        <is>
          <t>KRISTIANSTAD</t>
        </is>
      </c>
      <c r="G4497" t="n">
        <v>3.1</v>
      </c>
      <c r="H4497" t="n">
        <v>0</v>
      </c>
      <c r="I4497" t="n">
        <v>0</v>
      </c>
      <c r="J4497" t="n">
        <v>0</v>
      </c>
      <c r="K4497" t="n">
        <v>0</v>
      </c>
      <c r="L4497" t="n">
        <v>0</v>
      </c>
      <c r="M4497" t="n">
        <v>0</v>
      </c>
      <c r="N4497" t="n">
        <v>0</v>
      </c>
      <c r="O4497" t="n">
        <v>0</v>
      </c>
      <c r="P4497" t="n">
        <v>0</v>
      </c>
      <c r="Q4497" t="n">
        <v>0</v>
      </c>
      <c r="R4497" s="2" t="inlineStr"/>
    </row>
    <row r="4498" ht="15" customHeight="1">
      <c r="A4498" t="inlineStr">
        <is>
          <t>A 12404-2024</t>
        </is>
      </c>
      <c r="B4498" s="1" t="n">
        <v>45379.38943287037</v>
      </c>
      <c r="C4498" s="1" t="n">
        <v>45962</v>
      </c>
      <c r="D4498" t="inlineStr">
        <is>
          <t>SKÅNE LÄN</t>
        </is>
      </c>
      <c r="E4498" t="inlineStr">
        <is>
          <t>KRISTIANSTAD</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6605-2024</t>
        </is>
      </c>
      <c r="B4499" s="1" t="n">
        <v>45341.56746527777</v>
      </c>
      <c r="C4499" s="1" t="n">
        <v>45962</v>
      </c>
      <c r="D4499" t="inlineStr">
        <is>
          <t>SKÅNE LÄN</t>
        </is>
      </c>
      <c r="E4499" t="inlineStr">
        <is>
          <t>OSBY</t>
        </is>
      </c>
      <c r="G4499" t="n">
        <v>2.4</v>
      </c>
      <c r="H4499" t="n">
        <v>0</v>
      </c>
      <c r="I4499" t="n">
        <v>0</v>
      </c>
      <c r="J4499" t="n">
        <v>0</v>
      </c>
      <c r="K4499" t="n">
        <v>0</v>
      </c>
      <c r="L4499" t="n">
        <v>0</v>
      </c>
      <c r="M4499" t="n">
        <v>0</v>
      </c>
      <c r="N4499" t="n">
        <v>0</v>
      </c>
      <c r="O4499" t="n">
        <v>0</v>
      </c>
      <c r="P4499" t="n">
        <v>0</v>
      </c>
      <c r="Q4499" t="n">
        <v>0</v>
      </c>
      <c r="R4499" s="2" t="inlineStr"/>
    </row>
    <row r="4500" ht="15" customHeight="1">
      <c r="A4500" t="inlineStr">
        <is>
          <t>A 36917-2025</t>
        </is>
      </c>
      <c r="B4500" s="1" t="n">
        <v>45874.50819444445</v>
      </c>
      <c r="C4500" s="1" t="n">
        <v>45962</v>
      </c>
      <c r="D4500" t="inlineStr">
        <is>
          <t>SKÅNE LÄN</t>
        </is>
      </c>
      <c r="E4500" t="inlineStr">
        <is>
          <t>KRISTIANSTAD</t>
        </is>
      </c>
      <c r="G4500" t="n">
        <v>3.5</v>
      </c>
      <c r="H4500" t="n">
        <v>0</v>
      </c>
      <c r="I4500" t="n">
        <v>0</v>
      </c>
      <c r="J4500" t="n">
        <v>0</v>
      </c>
      <c r="K4500" t="n">
        <v>0</v>
      </c>
      <c r="L4500" t="n">
        <v>0</v>
      </c>
      <c r="M4500" t="n">
        <v>0</v>
      </c>
      <c r="N4500" t="n">
        <v>0</v>
      </c>
      <c r="O4500" t="n">
        <v>0</v>
      </c>
      <c r="P4500" t="n">
        <v>0</v>
      </c>
      <c r="Q4500" t="n">
        <v>0</v>
      </c>
      <c r="R4500" s="2" t="inlineStr"/>
    </row>
    <row r="4501" ht="15" customHeight="1">
      <c r="A4501" t="inlineStr">
        <is>
          <t>A 36919-2025</t>
        </is>
      </c>
      <c r="B4501" s="1" t="n">
        <v>45874.51923611111</v>
      </c>
      <c r="C4501" s="1" t="n">
        <v>45962</v>
      </c>
      <c r="D4501" t="inlineStr">
        <is>
          <t>SKÅNE LÄN</t>
        </is>
      </c>
      <c r="E4501" t="inlineStr">
        <is>
          <t>ÖSTRA GÖINGE</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47259-2025</t>
        </is>
      </c>
      <c r="B4502" s="1" t="n">
        <v>45930</v>
      </c>
      <c r="C4502" s="1" t="n">
        <v>45962</v>
      </c>
      <c r="D4502" t="inlineStr">
        <is>
          <t>SKÅNE LÄN</t>
        </is>
      </c>
      <c r="E4502" t="inlineStr">
        <is>
          <t>HÄSSLEHOLM</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9801-2024</t>
        </is>
      </c>
      <c r="B4503" s="1" t="n">
        <v>45362.83111111111</v>
      </c>
      <c r="C4503" s="1" t="n">
        <v>45962</v>
      </c>
      <c r="D4503" t="inlineStr">
        <is>
          <t>SKÅNE LÄN</t>
        </is>
      </c>
      <c r="E4503" t="inlineStr">
        <is>
          <t>OSBY</t>
        </is>
      </c>
      <c r="F4503" t="inlineStr">
        <is>
          <t>Sveaskog</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47450-2025</t>
        </is>
      </c>
      <c r="B4504" s="1" t="n">
        <v>45930</v>
      </c>
      <c r="C4504" s="1" t="n">
        <v>45962</v>
      </c>
      <c r="D4504" t="inlineStr">
        <is>
          <t>SKÅNE LÄN</t>
        </is>
      </c>
      <c r="E4504" t="inlineStr">
        <is>
          <t>HÄSSLEHOLM</t>
        </is>
      </c>
      <c r="G4504" t="n">
        <v>3.2</v>
      </c>
      <c r="H4504" t="n">
        <v>0</v>
      </c>
      <c r="I4504" t="n">
        <v>0</v>
      </c>
      <c r="J4504" t="n">
        <v>0</v>
      </c>
      <c r="K4504" t="n">
        <v>0</v>
      </c>
      <c r="L4504" t="n">
        <v>0</v>
      </c>
      <c r="M4504" t="n">
        <v>0</v>
      </c>
      <c r="N4504" t="n">
        <v>0</v>
      </c>
      <c r="O4504" t="n">
        <v>0</v>
      </c>
      <c r="P4504" t="n">
        <v>0</v>
      </c>
      <c r="Q4504" t="n">
        <v>0</v>
      </c>
      <c r="R4504" s="2" t="inlineStr"/>
    </row>
    <row r="4505" ht="15" customHeight="1">
      <c r="A4505" t="inlineStr">
        <is>
          <t>A 3452-2023</t>
        </is>
      </c>
      <c r="B4505" s="1" t="n">
        <v>44949</v>
      </c>
      <c r="C4505" s="1" t="n">
        <v>45962</v>
      </c>
      <c r="D4505" t="inlineStr">
        <is>
          <t>SKÅNE LÄN</t>
        </is>
      </c>
      <c r="E4505" t="inlineStr">
        <is>
          <t>HÄSSLEHOLM</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47422-2025</t>
        </is>
      </c>
      <c r="B4506" s="1" t="n">
        <v>45930</v>
      </c>
      <c r="C4506" s="1" t="n">
        <v>45962</v>
      </c>
      <c r="D4506" t="inlineStr">
        <is>
          <t>SKÅNE LÄN</t>
        </is>
      </c>
      <c r="E4506" t="inlineStr">
        <is>
          <t>HÄSSLEHOLM</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47466-2025</t>
        </is>
      </c>
      <c r="B4507" s="1" t="n">
        <v>45930.66677083333</v>
      </c>
      <c r="C4507" s="1" t="n">
        <v>45962</v>
      </c>
      <c r="D4507" t="inlineStr">
        <is>
          <t>SKÅNE LÄN</t>
        </is>
      </c>
      <c r="E4507" t="inlineStr">
        <is>
          <t>HÄSSLEHOLM</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50525-2024</t>
        </is>
      </c>
      <c r="B4508" s="1" t="n">
        <v>45601</v>
      </c>
      <c r="C4508" s="1" t="n">
        <v>45962</v>
      </c>
      <c r="D4508" t="inlineStr">
        <is>
          <t>SKÅNE LÄN</t>
        </is>
      </c>
      <c r="E4508" t="inlineStr">
        <is>
          <t>HÄSSLEHOLM</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260-2024</t>
        </is>
      </c>
      <c r="B4509" s="1" t="n">
        <v>45294</v>
      </c>
      <c r="C4509" s="1" t="n">
        <v>45962</v>
      </c>
      <c r="D4509" t="inlineStr">
        <is>
          <t>SKÅNE LÄN</t>
        </is>
      </c>
      <c r="E4509" t="inlineStr">
        <is>
          <t>HÄSSLEHOLM</t>
        </is>
      </c>
      <c r="G4509" t="n">
        <v>0.2</v>
      </c>
      <c r="H4509" t="n">
        <v>0</v>
      </c>
      <c r="I4509" t="n">
        <v>0</v>
      </c>
      <c r="J4509" t="n">
        <v>0</v>
      </c>
      <c r="K4509" t="n">
        <v>0</v>
      </c>
      <c r="L4509" t="n">
        <v>0</v>
      </c>
      <c r="M4509" t="n">
        <v>0</v>
      </c>
      <c r="N4509" t="n">
        <v>0</v>
      </c>
      <c r="O4509" t="n">
        <v>0</v>
      </c>
      <c r="P4509" t="n">
        <v>0</v>
      </c>
      <c r="Q4509" t="n">
        <v>0</v>
      </c>
      <c r="R4509" s="2" t="inlineStr"/>
    </row>
    <row r="4510" ht="15" customHeight="1">
      <c r="A4510" t="inlineStr">
        <is>
          <t>A 5016-2024</t>
        </is>
      </c>
      <c r="B4510" s="1" t="n">
        <v>45329</v>
      </c>
      <c r="C4510" s="1" t="n">
        <v>45962</v>
      </c>
      <c r="D4510" t="inlineStr">
        <is>
          <t>SKÅNE LÄN</t>
        </is>
      </c>
      <c r="E4510" t="inlineStr">
        <is>
          <t>HÄSSLEHOLM</t>
        </is>
      </c>
      <c r="G4510" t="n">
        <v>3.2</v>
      </c>
      <c r="H4510" t="n">
        <v>0</v>
      </c>
      <c r="I4510" t="n">
        <v>0</v>
      </c>
      <c r="J4510" t="n">
        <v>0</v>
      </c>
      <c r="K4510" t="n">
        <v>0</v>
      </c>
      <c r="L4510" t="n">
        <v>0</v>
      </c>
      <c r="M4510" t="n">
        <v>0</v>
      </c>
      <c r="N4510" t="n">
        <v>0</v>
      </c>
      <c r="O4510" t="n">
        <v>0</v>
      </c>
      <c r="P4510" t="n">
        <v>0</v>
      </c>
      <c r="Q4510" t="n">
        <v>0</v>
      </c>
      <c r="R4510" s="2" t="inlineStr"/>
    </row>
    <row r="4511" ht="15" customHeight="1">
      <c r="A4511" t="inlineStr">
        <is>
          <t>A 11603-2025</t>
        </is>
      </c>
      <c r="B4511" s="1" t="n">
        <v>45727</v>
      </c>
      <c r="C4511" s="1" t="n">
        <v>45962</v>
      </c>
      <c r="D4511" t="inlineStr">
        <is>
          <t>SKÅNE LÄN</t>
        </is>
      </c>
      <c r="E4511" t="inlineStr">
        <is>
          <t>HÄSSLEHOLM</t>
        </is>
      </c>
      <c r="G4511" t="n">
        <v>5.6</v>
      </c>
      <c r="H4511" t="n">
        <v>0</v>
      </c>
      <c r="I4511" t="n">
        <v>0</v>
      </c>
      <c r="J4511" t="n">
        <v>0</v>
      </c>
      <c r="K4511" t="n">
        <v>0</v>
      </c>
      <c r="L4511" t="n">
        <v>0</v>
      </c>
      <c r="M4511" t="n">
        <v>0</v>
      </c>
      <c r="N4511" t="n">
        <v>0</v>
      </c>
      <c r="O4511" t="n">
        <v>0</v>
      </c>
      <c r="P4511" t="n">
        <v>0</v>
      </c>
      <c r="Q4511" t="n">
        <v>0</v>
      </c>
      <c r="R4511" s="2" t="inlineStr"/>
    </row>
    <row r="4512" ht="15" customHeight="1">
      <c r="A4512" t="inlineStr">
        <is>
          <t>A 11635-2025</t>
        </is>
      </c>
      <c r="B4512" s="1" t="n">
        <v>45727</v>
      </c>
      <c r="C4512" s="1" t="n">
        <v>45962</v>
      </c>
      <c r="D4512" t="inlineStr">
        <is>
          <t>SKÅNE LÄN</t>
        </is>
      </c>
      <c r="E4512" t="inlineStr">
        <is>
          <t>ÖSTRA GÖINGE</t>
        </is>
      </c>
      <c r="G4512" t="n">
        <v>3.1</v>
      </c>
      <c r="H4512" t="n">
        <v>0</v>
      </c>
      <c r="I4512" t="n">
        <v>0</v>
      </c>
      <c r="J4512" t="n">
        <v>0</v>
      </c>
      <c r="K4512" t="n">
        <v>0</v>
      </c>
      <c r="L4512" t="n">
        <v>0</v>
      </c>
      <c r="M4512" t="n">
        <v>0</v>
      </c>
      <c r="N4512" t="n">
        <v>0</v>
      </c>
      <c r="O4512" t="n">
        <v>0</v>
      </c>
      <c r="P4512" t="n">
        <v>0</v>
      </c>
      <c r="Q4512" t="n">
        <v>0</v>
      </c>
      <c r="R4512" s="2" t="inlineStr"/>
    </row>
    <row r="4513" ht="15" customHeight="1">
      <c r="A4513" t="inlineStr">
        <is>
          <t>A 11732-2025</t>
        </is>
      </c>
      <c r="B4513" s="1" t="n">
        <v>45727</v>
      </c>
      <c r="C4513" s="1" t="n">
        <v>45962</v>
      </c>
      <c r="D4513" t="inlineStr">
        <is>
          <t>SKÅNE LÄN</t>
        </is>
      </c>
      <c r="E4513" t="inlineStr">
        <is>
          <t>ESLÖV</t>
        </is>
      </c>
      <c r="G4513" t="n">
        <v>4.5</v>
      </c>
      <c r="H4513" t="n">
        <v>0</v>
      </c>
      <c r="I4513" t="n">
        <v>0</v>
      </c>
      <c r="J4513" t="n">
        <v>0</v>
      </c>
      <c r="K4513" t="n">
        <v>0</v>
      </c>
      <c r="L4513" t="n">
        <v>0</v>
      </c>
      <c r="M4513" t="n">
        <v>0</v>
      </c>
      <c r="N4513" t="n">
        <v>0</v>
      </c>
      <c r="O4513" t="n">
        <v>0</v>
      </c>
      <c r="P4513" t="n">
        <v>0</v>
      </c>
      <c r="Q4513" t="n">
        <v>0</v>
      </c>
      <c r="R4513" s="2" t="inlineStr"/>
    </row>
    <row r="4514" ht="15" customHeight="1">
      <c r="A4514" t="inlineStr">
        <is>
          <t>A 47473-2025</t>
        </is>
      </c>
      <c r="B4514" s="1" t="n">
        <v>45930.67763888889</v>
      </c>
      <c r="C4514" s="1" t="n">
        <v>45962</v>
      </c>
      <c r="D4514" t="inlineStr">
        <is>
          <t>SKÅNE LÄN</t>
        </is>
      </c>
      <c r="E4514" t="inlineStr">
        <is>
          <t>HÄSSLEHOLM</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34704-2024</t>
        </is>
      </c>
      <c r="B4515" s="1" t="n">
        <v>45526</v>
      </c>
      <c r="C4515" s="1" t="n">
        <v>45962</v>
      </c>
      <c r="D4515" t="inlineStr">
        <is>
          <t>SKÅNE LÄN</t>
        </is>
      </c>
      <c r="E4515" t="inlineStr">
        <is>
          <t>HÖÖR</t>
        </is>
      </c>
      <c r="G4515" t="n">
        <v>0.4</v>
      </c>
      <c r="H4515" t="n">
        <v>0</v>
      </c>
      <c r="I4515" t="n">
        <v>0</v>
      </c>
      <c r="J4515" t="n">
        <v>0</v>
      </c>
      <c r="K4515" t="n">
        <v>0</v>
      </c>
      <c r="L4515" t="n">
        <v>0</v>
      </c>
      <c r="M4515" t="n">
        <v>0</v>
      </c>
      <c r="N4515" t="n">
        <v>0</v>
      </c>
      <c r="O4515" t="n">
        <v>0</v>
      </c>
      <c r="P4515" t="n">
        <v>0</v>
      </c>
      <c r="Q4515" t="n">
        <v>0</v>
      </c>
      <c r="R4515" s="2" t="inlineStr"/>
    </row>
    <row r="4516" ht="15" customHeight="1">
      <c r="A4516" t="inlineStr">
        <is>
          <t>A 4734-2025</t>
        </is>
      </c>
      <c r="B4516" s="1" t="n">
        <v>45688.44030092593</v>
      </c>
      <c r="C4516" s="1" t="n">
        <v>45962</v>
      </c>
      <c r="D4516" t="inlineStr">
        <is>
          <t>SKÅNE LÄN</t>
        </is>
      </c>
      <c r="E4516" t="inlineStr">
        <is>
          <t>HÄSSLEHOLM</t>
        </is>
      </c>
      <c r="G4516" t="n">
        <v>19.6</v>
      </c>
      <c r="H4516" t="n">
        <v>0</v>
      </c>
      <c r="I4516" t="n">
        <v>0</v>
      </c>
      <c r="J4516" t="n">
        <v>0</v>
      </c>
      <c r="K4516" t="n">
        <v>0</v>
      </c>
      <c r="L4516" t="n">
        <v>0</v>
      </c>
      <c r="M4516" t="n">
        <v>0</v>
      </c>
      <c r="N4516" t="n">
        <v>0</v>
      </c>
      <c r="O4516" t="n">
        <v>0</v>
      </c>
      <c r="P4516" t="n">
        <v>0</v>
      </c>
      <c r="Q4516" t="n">
        <v>0</v>
      </c>
      <c r="R4516" s="2" t="inlineStr"/>
    </row>
    <row r="4517" ht="15" customHeight="1">
      <c r="A4517" t="inlineStr">
        <is>
          <t>A 64844-2023</t>
        </is>
      </c>
      <c r="B4517" s="1" t="n">
        <v>45282.47112268519</v>
      </c>
      <c r="C4517" s="1" t="n">
        <v>45962</v>
      </c>
      <c r="D4517" t="inlineStr">
        <is>
          <t>SKÅNE LÄN</t>
        </is>
      </c>
      <c r="E4517" t="inlineStr">
        <is>
          <t>KRISTIANSTAD</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16759-2025</t>
        </is>
      </c>
      <c r="B4518" s="1" t="n">
        <v>45754.5747337963</v>
      </c>
      <c r="C4518" s="1" t="n">
        <v>45962</v>
      </c>
      <c r="D4518" t="inlineStr">
        <is>
          <t>SKÅNE LÄN</t>
        </is>
      </c>
      <c r="E4518" t="inlineStr">
        <is>
          <t>HÖÖR</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12953-2025</t>
        </is>
      </c>
      <c r="B4519" s="1" t="n">
        <v>45734</v>
      </c>
      <c r="C4519" s="1" t="n">
        <v>45962</v>
      </c>
      <c r="D4519" t="inlineStr">
        <is>
          <t>SKÅNE LÄN</t>
        </is>
      </c>
      <c r="E4519" t="inlineStr">
        <is>
          <t>SVEDALA</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47126-2025</t>
        </is>
      </c>
      <c r="B4520" s="1" t="n">
        <v>45929.685625</v>
      </c>
      <c r="C4520" s="1" t="n">
        <v>45962</v>
      </c>
      <c r="D4520" t="inlineStr">
        <is>
          <t>SKÅNE LÄN</t>
        </is>
      </c>
      <c r="E4520" t="inlineStr">
        <is>
          <t>HÄSSLEHOLM</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47127-2025</t>
        </is>
      </c>
      <c r="B4521" s="1" t="n">
        <v>45929.6893287037</v>
      </c>
      <c r="C4521" s="1" t="n">
        <v>45962</v>
      </c>
      <c r="D4521" t="inlineStr">
        <is>
          <t>SKÅNE LÄN</t>
        </is>
      </c>
      <c r="E4521" t="inlineStr">
        <is>
          <t>HÄSSLEHOLM</t>
        </is>
      </c>
      <c r="G4521" t="n">
        <v>1.7</v>
      </c>
      <c r="H4521" t="n">
        <v>0</v>
      </c>
      <c r="I4521" t="n">
        <v>0</v>
      </c>
      <c r="J4521" t="n">
        <v>0</v>
      </c>
      <c r="K4521" t="n">
        <v>0</v>
      </c>
      <c r="L4521" t="n">
        <v>0</v>
      </c>
      <c r="M4521" t="n">
        <v>0</v>
      </c>
      <c r="N4521" t="n">
        <v>0</v>
      </c>
      <c r="O4521" t="n">
        <v>0</v>
      </c>
      <c r="P4521" t="n">
        <v>0</v>
      </c>
      <c r="Q4521" t="n">
        <v>0</v>
      </c>
      <c r="R4521" s="2" t="inlineStr"/>
    </row>
    <row r="4522" ht="15" customHeight="1">
      <c r="A4522" t="inlineStr">
        <is>
          <t>A 24776-2025</t>
        </is>
      </c>
      <c r="B4522" s="1" t="n">
        <v>45799.40640046296</v>
      </c>
      <c r="C4522" s="1" t="n">
        <v>45962</v>
      </c>
      <c r="D4522" t="inlineStr">
        <is>
          <t>SKÅNE LÄN</t>
        </is>
      </c>
      <c r="E4522" t="inlineStr">
        <is>
          <t>HÄSSLEHOLM</t>
        </is>
      </c>
      <c r="G4522" t="n">
        <v>5.4</v>
      </c>
      <c r="H4522" t="n">
        <v>0</v>
      </c>
      <c r="I4522" t="n">
        <v>0</v>
      </c>
      <c r="J4522" t="n">
        <v>0</v>
      </c>
      <c r="K4522" t="n">
        <v>0</v>
      </c>
      <c r="L4522" t="n">
        <v>0</v>
      </c>
      <c r="M4522" t="n">
        <v>0</v>
      </c>
      <c r="N4522" t="n">
        <v>0</v>
      </c>
      <c r="O4522" t="n">
        <v>0</v>
      </c>
      <c r="P4522" t="n">
        <v>0</v>
      </c>
      <c r="Q4522" t="n">
        <v>0</v>
      </c>
      <c r="R4522" s="2" t="inlineStr"/>
    </row>
    <row r="4523" ht="15" customHeight="1">
      <c r="A4523" t="inlineStr">
        <is>
          <t>A 37286-2025</t>
        </is>
      </c>
      <c r="B4523" s="1" t="n">
        <v>45876.50116898148</v>
      </c>
      <c r="C4523" s="1" t="n">
        <v>45962</v>
      </c>
      <c r="D4523" t="inlineStr">
        <is>
          <t>SKÅNE LÄN</t>
        </is>
      </c>
      <c r="E4523" t="inlineStr">
        <is>
          <t>HÄSSLEHOLM</t>
        </is>
      </c>
      <c r="G4523" t="n">
        <v>2.9</v>
      </c>
      <c r="H4523" t="n">
        <v>0</v>
      </c>
      <c r="I4523" t="n">
        <v>0</v>
      </c>
      <c r="J4523" t="n">
        <v>0</v>
      </c>
      <c r="K4523" t="n">
        <v>0</v>
      </c>
      <c r="L4523" t="n">
        <v>0</v>
      </c>
      <c r="M4523" t="n">
        <v>0</v>
      </c>
      <c r="N4523" t="n">
        <v>0</v>
      </c>
      <c r="O4523" t="n">
        <v>0</v>
      </c>
      <c r="P4523" t="n">
        <v>0</v>
      </c>
      <c r="Q4523" t="n">
        <v>0</v>
      </c>
      <c r="R4523" s="2" t="inlineStr"/>
    </row>
    <row r="4524" ht="15" customHeight="1">
      <c r="A4524" t="inlineStr">
        <is>
          <t>A 37359-2025</t>
        </is>
      </c>
      <c r="B4524" s="1" t="n">
        <v>45876.90118055556</v>
      </c>
      <c r="C4524" s="1" t="n">
        <v>45962</v>
      </c>
      <c r="D4524" t="inlineStr">
        <is>
          <t>SKÅNE LÄN</t>
        </is>
      </c>
      <c r="E4524" t="inlineStr">
        <is>
          <t>KRISTIANSTAD</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25764-2024</t>
        </is>
      </c>
      <c r="B4525" s="1" t="n">
        <v>45465.77907407407</v>
      </c>
      <c r="C4525" s="1" t="n">
        <v>45962</v>
      </c>
      <c r="D4525" t="inlineStr">
        <is>
          <t>SKÅNE LÄN</t>
        </is>
      </c>
      <c r="E4525" t="inlineStr">
        <is>
          <t>KRISTIANSTAD</t>
        </is>
      </c>
      <c r="G4525" t="n">
        <v>9.800000000000001</v>
      </c>
      <c r="H4525" t="n">
        <v>0</v>
      </c>
      <c r="I4525" t="n">
        <v>0</v>
      </c>
      <c r="J4525" t="n">
        <v>0</v>
      </c>
      <c r="K4525" t="n">
        <v>0</v>
      </c>
      <c r="L4525" t="n">
        <v>0</v>
      </c>
      <c r="M4525" t="n">
        <v>0</v>
      </c>
      <c r="N4525" t="n">
        <v>0</v>
      </c>
      <c r="O4525" t="n">
        <v>0</v>
      </c>
      <c r="P4525" t="n">
        <v>0</v>
      </c>
      <c r="Q4525" t="n">
        <v>0</v>
      </c>
      <c r="R4525" s="2" t="inlineStr"/>
    </row>
    <row r="4526" ht="15" customHeight="1">
      <c r="A4526" t="inlineStr">
        <is>
          <t>A 6698-2023</t>
        </is>
      </c>
      <c r="B4526" s="1" t="n">
        <v>44966</v>
      </c>
      <c r="C4526" s="1" t="n">
        <v>45962</v>
      </c>
      <c r="D4526" t="inlineStr">
        <is>
          <t>SKÅNE LÄN</t>
        </is>
      </c>
      <c r="E4526" t="inlineStr">
        <is>
          <t>OSBY</t>
        </is>
      </c>
      <c r="G4526" t="n">
        <v>0.7</v>
      </c>
      <c r="H4526" t="n">
        <v>0</v>
      </c>
      <c r="I4526" t="n">
        <v>0</v>
      </c>
      <c r="J4526" t="n">
        <v>0</v>
      </c>
      <c r="K4526" t="n">
        <v>0</v>
      </c>
      <c r="L4526" t="n">
        <v>0</v>
      </c>
      <c r="M4526" t="n">
        <v>0</v>
      </c>
      <c r="N4526" t="n">
        <v>0</v>
      </c>
      <c r="O4526" t="n">
        <v>0</v>
      </c>
      <c r="P4526" t="n">
        <v>0</v>
      </c>
      <c r="Q4526" t="n">
        <v>0</v>
      </c>
      <c r="R4526" s="2" t="inlineStr"/>
    </row>
    <row r="4527" ht="15" customHeight="1">
      <c r="A4527" t="inlineStr">
        <is>
          <t>A 39080-2025</t>
        </is>
      </c>
      <c r="B4527" s="1" t="n">
        <v>45888.48535879629</v>
      </c>
      <c r="C4527" s="1" t="n">
        <v>45962</v>
      </c>
      <c r="D4527" t="inlineStr">
        <is>
          <t>SKÅNE LÄN</t>
        </is>
      </c>
      <c r="E4527" t="inlineStr">
        <is>
          <t>PERSTORP</t>
        </is>
      </c>
      <c r="G4527" t="n">
        <v>2</v>
      </c>
      <c r="H4527" t="n">
        <v>0</v>
      </c>
      <c r="I4527" t="n">
        <v>0</v>
      </c>
      <c r="J4527" t="n">
        <v>0</v>
      </c>
      <c r="K4527" t="n">
        <v>0</v>
      </c>
      <c r="L4527" t="n">
        <v>0</v>
      </c>
      <c r="M4527" t="n">
        <v>0</v>
      </c>
      <c r="N4527" t="n">
        <v>0</v>
      </c>
      <c r="O4527" t="n">
        <v>0</v>
      </c>
      <c r="P4527" t="n">
        <v>0</v>
      </c>
      <c r="Q4527" t="n">
        <v>0</v>
      </c>
      <c r="R4527" s="2" t="inlineStr"/>
    </row>
    <row r="4528" ht="15" customHeight="1">
      <c r="A4528" t="inlineStr">
        <is>
          <t>A 39453-2025</t>
        </is>
      </c>
      <c r="B4528" s="1" t="n">
        <v>45889</v>
      </c>
      <c r="C4528" s="1" t="n">
        <v>45962</v>
      </c>
      <c r="D4528" t="inlineStr">
        <is>
          <t>SKÅNE LÄN</t>
        </is>
      </c>
      <c r="E4528" t="inlineStr">
        <is>
          <t>HÄSSLEHOLM</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41977-2023</t>
        </is>
      </c>
      <c r="B4529" s="1" t="n">
        <v>45177.39659722222</v>
      </c>
      <c r="C4529" s="1" t="n">
        <v>45962</v>
      </c>
      <c r="D4529" t="inlineStr">
        <is>
          <t>SKÅNE LÄN</t>
        </is>
      </c>
      <c r="E4529" t="inlineStr">
        <is>
          <t>OSBY</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20002-2022</t>
        </is>
      </c>
      <c r="B4530" s="1" t="n">
        <v>44697.62150462963</v>
      </c>
      <c r="C4530" s="1" t="n">
        <v>45962</v>
      </c>
      <c r="D4530" t="inlineStr">
        <is>
          <t>SKÅNE LÄN</t>
        </is>
      </c>
      <c r="E4530" t="inlineStr">
        <is>
          <t>KLIPPAN</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39864-2025</t>
        </is>
      </c>
      <c r="B4531" s="1" t="n">
        <v>45891.60197916667</v>
      </c>
      <c r="C4531" s="1" t="n">
        <v>45962</v>
      </c>
      <c r="D4531" t="inlineStr">
        <is>
          <t>SKÅNE LÄN</t>
        </is>
      </c>
      <c r="E4531" t="inlineStr">
        <is>
          <t>ÖRKELLJUNGA</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38682-2025</t>
        </is>
      </c>
      <c r="B4532" s="1" t="n">
        <v>45884.65219907407</v>
      </c>
      <c r="C4532" s="1" t="n">
        <v>45962</v>
      </c>
      <c r="D4532" t="inlineStr">
        <is>
          <t>SKÅNE LÄN</t>
        </is>
      </c>
      <c r="E4532" t="inlineStr">
        <is>
          <t>OSBY</t>
        </is>
      </c>
      <c r="G4532" t="n">
        <v>1.7</v>
      </c>
      <c r="H4532" t="n">
        <v>0</v>
      </c>
      <c r="I4532" t="n">
        <v>0</v>
      </c>
      <c r="J4532" t="n">
        <v>0</v>
      </c>
      <c r="K4532" t="n">
        <v>0</v>
      </c>
      <c r="L4532" t="n">
        <v>0</v>
      </c>
      <c r="M4532" t="n">
        <v>0</v>
      </c>
      <c r="N4532" t="n">
        <v>0</v>
      </c>
      <c r="O4532" t="n">
        <v>0</v>
      </c>
      <c r="P4532" t="n">
        <v>0</v>
      </c>
      <c r="Q4532" t="n">
        <v>0</v>
      </c>
      <c r="R4532" s="2" t="inlineStr"/>
    </row>
    <row r="4533" ht="15" customHeight="1">
      <c r="A4533" t="inlineStr">
        <is>
          <t>A 23990-2023</t>
        </is>
      </c>
      <c r="B4533" s="1" t="n">
        <v>45078</v>
      </c>
      <c r="C4533" s="1" t="n">
        <v>45962</v>
      </c>
      <c r="D4533" t="inlineStr">
        <is>
          <t>SKÅNE LÄN</t>
        </is>
      </c>
      <c r="E4533" t="inlineStr">
        <is>
          <t>ÖRKELLJUNGA</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25206-2023</t>
        </is>
      </c>
      <c r="B4534" s="1" t="n">
        <v>45086.59318287037</v>
      </c>
      <c r="C4534" s="1" t="n">
        <v>45962</v>
      </c>
      <c r="D4534" t="inlineStr">
        <is>
          <t>SKÅNE LÄN</t>
        </is>
      </c>
      <c r="E4534" t="inlineStr">
        <is>
          <t>HÄSSLEHOLM</t>
        </is>
      </c>
      <c r="G4534" t="n">
        <v>2.9</v>
      </c>
      <c r="H4534" t="n">
        <v>0</v>
      </c>
      <c r="I4534" t="n">
        <v>0</v>
      </c>
      <c r="J4534" t="n">
        <v>0</v>
      </c>
      <c r="K4534" t="n">
        <v>0</v>
      </c>
      <c r="L4534" t="n">
        <v>0</v>
      </c>
      <c r="M4534" t="n">
        <v>0</v>
      </c>
      <c r="N4534" t="n">
        <v>0</v>
      </c>
      <c r="O4534" t="n">
        <v>0</v>
      </c>
      <c r="P4534" t="n">
        <v>0</v>
      </c>
      <c r="Q4534" t="n">
        <v>0</v>
      </c>
      <c r="R4534" s="2" t="inlineStr"/>
    </row>
    <row r="4535" ht="15" customHeight="1">
      <c r="A4535" t="inlineStr">
        <is>
          <t>A 25221-2023</t>
        </is>
      </c>
      <c r="B4535" s="1" t="n">
        <v>45086.60842592592</v>
      </c>
      <c r="C4535" s="1" t="n">
        <v>45962</v>
      </c>
      <c r="D4535" t="inlineStr">
        <is>
          <t>SKÅNE LÄN</t>
        </is>
      </c>
      <c r="E4535" t="inlineStr">
        <is>
          <t>HÄSSLEHOLM</t>
        </is>
      </c>
      <c r="G4535" t="n">
        <v>2.5</v>
      </c>
      <c r="H4535" t="n">
        <v>0</v>
      </c>
      <c r="I4535" t="n">
        <v>0</v>
      </c>
      <c r="J4535" t="n">
        <v>0</v>
      </c>
      <c r="K4535" t="n">
        <v>0</v>
      </c>
      <c r="L4535" t="n">
        <v>0</v>
      </c>
      <c r="M4535" t="n">
        <v>0</v>
      </c>
      <c r="N4535" t="n">
        <v>0</v>
      </c>
      <c r="O4535" t="n">
        <v>0</v>
      </c>
      <c r="P4535" t="n">
        <v>0</v>
      </c>
      <c r="Q4535" t="n">
        <v>0</v>
      </c>
      <c r="R4535" s="2" t="inlineStr"/>
    </row>
    <row r="4536" ht="15" customHeight="1">
      <c r="A4536" t="inlineStr">
        <is>
          <t>A 47796-2025</t>
        </is>
      </c>
      <c r="B4536" s="1" t="n">
        <v>45931</v>
      </c>
      <c r="C4536" s="1" t="n">
        <v>45962</v>
      </c>
      <c r="D4536" t="inlineStr">
        <is>
          <t>SKÅNE LÄN</t>
        </is>
      </c>
      <c r="E4536" t="inlineStr">
        <is>
          <t>ÖSTRA GÖINGE</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57272-2023</t>
        </is>
      </c>
      <c r="B4537" s="1" t="n">
        <v>45245</v>
      </c>
      <c r="C4537" s="1" t="n">
        <v>45962</v>
      </c>
      <c r="D4537" t="inlineStr">
        <is>
          <t>SKÅNE LÄN</t>
        </is>
      </c>
      <c r="E4537" t="inlineStr">
        <is>
          <t>HÄSSLEHOLM</t>
        </is>
      </c>
      <c r="G4537" t="n">
        <v>2.3</v>
      </c>
      <c r="H4537" t="n">
        <v>0</v>
      </c>
      <c r="I4537" t="n">
        <v>0</v>
      </c>
      <c r="J4537" t="n">
        <v>0</v>
      </c>
      <c r="K4537" t="n">
        <v>0</v>
      </c>
      <c r="L4537" t="n">
        <v>0</v>
      </c>
      <c r="M4537" t="n">
        <v>0</v>
      </c>
      <c r="N4537" t="n">
        <v>0</v>
      </c>
      <c r="O4537" t="n">
        <v>0</v>
      </c>
      <c r="P4537" t="n">
        <v>0</v>
      </c>
      <c r="Q4537" t="n">
        <v>0</v>
      </c>
      <c r="R4537" s="2" t="inlineStr"/>
    </row>
    <row r="4538" ht="15" customHeight="1">
      <c r="A4538" t="inlineStr">
        <is>
          <t>A 37271-2025</t>
        </is>
      </c>
      <c r="B4538" s="1" t="n">
        <v>45876.47828703704</v>
      </c>
      <c r="C4538" s="1" t="n">
        <v>45962</v>
      </c>
      <c r="D4538" t="inlineStr">
        <is>
          <t>SKÅNE LÄN</t>
        </is>
      </c>
      <c r="E4538" t="inlineStr">
        <is>
          <t>HÄSSLEHOLM</t>
        </is>
      </c>
      <c r="G4538" t="n">
        <v>4.1</v>
      </c>
      <c r="H4538" t="n">
        <v>0</v>
      </c>
      <c r="I4538" t="n">
        <v>0</v>
      </c>
      <c r="J4538" t="n">
        <v>0</v>
      </c>
      <c r="K4538" t="n">
        <v>0</v>
      </c>
      <c r="L4538" t="n">
        <v>0</v>
      </c>
      <c r="M4538" t="n">
        <v>0</v>
      </c>
      <c r="N4538" t="n">
        <v>0</v>
      </c>
      <c r="O4538" t="n">
        <v>0</v>
      </c>
      <c r="P4538" t="n">
        <v>0</v>
      </c>
      <c r="Q4538" t="n">
        <v>0</v>
      </c>
      <c r="R4538" s="2" t="inlineStr"/>
    </row>
    <row r="4539" ht="15" customHeight="1">
      <c r="A4539" t="inlineStr">
        <is>
          <t>A 12058-2024</t>
        </is>
      </c>
      <c r="B4539" s="1" t="n">
        <v>45377.48920138889</v>
      </c>
      <c r="C4539" s="1" t="n">
        <v>45962</v>
      </c>
      <c r="D4539" t="inlineStr">
        <is>
          <t>SKÅNE LÄN</t>
        </is>
      </c>
      <c r="E4539" t="inlineStr">
        <is>
          <t>OSBY</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22504-2022</t>
        </is>
      </c>
      <c r="B4540" s="1" t="n">
        <v>44713</v>
      </c>
      <c r="C4540" s="1" t="n">
        <v>45962</v>
      </c>
      <c r="D4540" t="inlineStr">
        <is>
          <t>SKÅNE LÄN</t>
        </is>
      </c>
      <c r="E4540" t="inlineStr">
        <is>
          <t>KRISTIANSTAD</t>
        </is>
      </c>
      <c r="F4540" t="inlineStr">
        <is>
          <t>Övriga Aktiebolag</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20125-2024</t>
        </is>
      </c>
      <c r="B4541" s="1" t="n">
        <v>45434.55394675926</v>
      </c>
      <c r="C4541" s="1" t="n">
        <v>45962</v>
      </c>
      <c r="D4541" t="inlineStr">
        <is>
          <t>SKÅNE LÄN</t>
        </is>
      </c>
      <c r="E4541" t="inlineStr">
        <is>
          <t>SVALÖV</t>
        </is>
      </c>
      <c r="G4541" t="n">
        <v>5.7</v>
      </c>
      <c r="H4541" t="n">
        <v>0</v>
      </c>
      <c r="I4541" t="n">
        <v>0</v>
      </c>
      <c r="J4541" t="n">
        <v>0</v>
      </c>
      <c r="K4541" t="n">
        <v>0</v>
      </c>
      <c r="L4541" t="n">
        <v>0</v>
      </c>
      <c r="M4541" t="n">
        <v>0</v>
      </c>
      <c r="N4541" t="n">
        <v>0</v>
      </c>
      <c r="O4541" t="n">
        <v>0</v>
      </c>
      <c r="P4541" t="n">
        <v>0</v>
      </c>
      <c r="Q4541" t="n">
        <v>0</v>
      </c>
      <c r="R4541" s="2" t="inlineStr"/>
    </row>
    <row r="4542" ht="15" customHeight="1">
      <c r="A4542" t="inlineStr">
        <is>
          <t>A 45729-2025</t>
        </is>
      </c>
      <c r="B4542" s="1" t="n">
        <v>45923</v>
      </c>
      <c r="C4542" s="1" t="n">
        <v>45962</v>
      </c>
      <c r="D4542" t="inlineStr">
        <is>
          <t>SKÅNE LÄN</t>
        </is>
      </c>
      <c r="E4542" t="inlineStr">
        <is>
          <t>OSBY</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38011-2023</t>
        </is>
      </c>
      <c r="B4543" s="1" t="n">
        <v>45160</v>
      </c>
      <c r="C4543" s="1" t="n">
        <v>45962</v>
      </c>
      <c r="D4543" t="inlineStr">
        <is>
          <t>SKÅNE LÄN</t>
        </is>
      </c>
      <c r="E4543" t="inlineStr">
        <is>
          <t>SVEDALA</t>
        </is>
      </c>
      <c r="G4543" t="n">
        <v>2.8</v>
      </c>
      <c r="H4543" t="n">
        <v>0</v>
      </c>
      <c r="I4543" t="n">
        <v>0</v>
      </c>
      <c r="J4543" t="n">
        <v>0</v>
      </c>
      <c r="K4543" t="n">
        <v>0</v>
      </c>
      <c r="L4543" t="n">
        <v>0</v>
      </c>
      <c r="M4543" t="n">
        <v>0</v>
      </c>
      <c r="N4543" t="n">
        <v>0</v>
      </c>
      <c r="O4543" t="n">
        <v>0</v>
      </c>
      <c r="P4543" t="n">
        <v>0</v>
      </c>
      <c r="Q4543" t="n">
        <v>0</v>
      </c>
      <c r="R4543" s="2" t="inlineStr"/>
    </row>
    <row r="4544" ht="15" customHeight="1">
      <c r="A4544" t="inlineStr">
        <is>
          <t>A 13856-2025</t>
        </is>
      </c>
      <c r="B4544" s="1" t="n">
        <v>45737.57289351852</v>
      </c>
      <c r="C4544" s="1" t="n">
        <v>45962</v>
      </c>
      <c r="D4544" t="inlineStr">
        <is>
          <t>SKÅNE LÄN</t>
        </is>
      </c>
      <c r="E4544" t="inlineStr">
        <is>
          <t>HÄSSLEHOLM</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48408-2023</t>
        </is>
      </c>
      <c r="B4545" s="1" t="n">
        <v>45205</v>
      </c>
      <c r="C4545" s="1" t="n">
        <v>45962</v>
      </c>
      <c r="D4545" t="inlineStr">
        <is>
          <t>SKÅNE LÄN</t>
        </is>
      </c>
      <c r="E4545" t="inlineStr">
        <is>
          <t>ÖSTRA GÖINGE</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47856-2024</t>
        </is>
      </c>
      <c r="B4546" s="1" t="n">
        <v>45588.6680324074</v>
      </c>
      <c r="C4546" s="1" t="n">
        <v>45962</v>
      </c>
      <c r="D4546" t="inlineStr">
        <is>
          <t>SKÅNE LÄN</t>
        </is>
      </c>
      <c r="E4546" t="inlineStr">
        <is>
          <t>KLIPPAN</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45717-2025</t>
        </is>
      </c>
      <c r="B4547" s="1" t="n">
        <v>45923.44155092593</v>
      </c>
      <c r="C4547" s="1" t="n">
        <v>45962</v>
      </c>
      <c r="D4547" t="inlineStr">
        <is>
          <t>SKÅNE LÄN</t>
        </is>
      </c>
      <c r="E4547" t="inlineStr">
        <is>
          <t>KLIPPAN</t>
        </is>
      </c>
      <c r="G4547" t="n">
        <v>9.1</v>
      </c>
      <c r="H4547" t="n">
        <v>0</v>
      </c>
      <c r="I4547" t="n">
        <v>0</v>
      </c>
      <c r="J4547" t="n">
        <v>0</v>
      </c>
      <c r="K4547" t="n">
        <v>0</v>
      </c>
      <c r="L4547" t="n">
        <v>0</v>
      </c>
      <c r="M4547" t="n">
        <v>0</v>
      </c>
      <c r="N4547" t="n">
        <v>0</v>
      </c>
      <c r="O4547" t="n">
        <v>0</v>
      </c>
      <c r="P4547" t="n">
        <v>0</v>
      </c>
      <c r="Q4547" t="n">
        <v>0</v>
      </c>
      <c r="R4547" s="2" t="inlineStr"/>
    </row>
    <row r="4548" ht="15" customHeight="1">
      <c r="A4548" t="inlineStr">
        <is>
          <t>A 39934-2025</t>
        </is>
      </c>
      <c r="B4548" s="1" t="n">
        <v>45891.71465277778</v>
      </c>
      <c r="C4548" s="1" t="n">
        <v>45962</v>
      </c>
      <c r="D4548" t="inlineStr">
        <is>
          <t>SKÅNE LÄN</t>
        </is>
      </c>
      <c r="E4548" t="inlineStr">
        <is>
          <t>HÄSSLEHOLM</t>
        </is>
      </c>
      <c r="G4548" t="n">
        <v>0.7</v>
      </c>
      <c r="H4548" t="n">
        <v>0</v>
      </c>
      <c r="I4548" t="n">
        <v>0</v>
      </c>
      <c r="J4548" t="n">
        <v>0</v>
      </c>
      <c r="K4548" t="n">
        <v>0</v>
      </c>
      <c r="L4548" t="n">
        <v>0</v>
      </c>
      <c r="M4548" t="n">
        <v>0</v>
      </c>
      <c r="N4548" t="n">
        <v>0</v>
      </c>
      <c r="O4548" t="n">
        <v>0</v>
      </c>
      <c r="P4548" t="n">
        <v>0</v>
      </c>
      <c r="Q4548" t="n">
        <v>0</v>
      </c>
      <c r="R4548" s="2" t="inlineStr"/>
    </row>
    <row r="4549" ht="15" customHeight="1">
      <c r="A4549" t="inlineStr">
        <is>
          <t>A 59966-2024</t>
        </is>
      </c>
      <c r="B4549" s="1" t="n">
        <v>45642.35851851852</v>
      </c>
      <c r="C4549" s="1" t="n">
        <v>45962</v>
      </c>
      <c r="D4549" t="inlineStr">
        <is>
          <t>SKÅNE LÄN</t>
        </is>
      </c>
      <c r="E4549" t="inlineStr">
        <is>
          <t>OSBY</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45763-2025</t>
        </is>
      </c>
      <c r="B4550" s="1" t="n">
        <v>45923.51778935185</v>
      </c>
      <c r="C4550" s="1" t="n">
        <v>45962</v>
      </c>
      <c r="D4550" t="inlineStr">
        <is>
          <t>SKÅNE LÄN</t>
        </is>
      </c>
      <c r="E4550" t="inlineStr">
        <is>
          <t>HÄSSLEHOLM</t>
        </is>
      </c>
      <c r="G4550" t="n">
        <v>4.8</v>
      </c>
      <c r="H4550" t="n">
        <v>0</v>
      </c>
      <c r="I4550" t="n">
        <v>0</v>
      </c>
      <c r="J4550" t="n">
        <v>0</v>
      </c>
      <c r="K4550" t="n">
        <v>0</v>
      </c>
      <c r="L4550" t="n">
        <v>0</v>
      </c>
      <c r="M4550" t="n">
        <v>0</v>
      </c>
      <c r="N4550" t="n">
        <v>0</v>
      </c>
      <c r="O4550" t="n">
        <v>0</v>
      </c>
      <c r="P4550" t="n">
        <v>0</v>
      </c>
      <c r="Q4550" t="n">
        <v>0</v>
      </c>
      <c r="R4550" s="2" t="inlineStr"/>
    </row>
    <row r="4551" ht="15" customHeight="1">
      <c r="A4551" t="inlineStr">
        <is>
          <t>A 45574-2025</t>
        </is>
      </c>
      <c r="B4551" s="1" t="n">
        <v>45922.65922453703</v>
      </c>
      <c r="C4551" s="1" t="n">
        <v>45962</v>
      </c>
      <c r="D4551" t="inlineStr">
        <is>
          <t>SKÅNE LÄN</t>
        </is>
      </c>
      <c r="E4551" t="inlineStr">
        <is>
          <t>KLIPPAN</t>
        </is>
      </c>
      <c r="G4551" t="n">
        <v>1.7</v>
      </c>
      <c r="H4551" t="n">
        <v>0</v>
      </c>
      <c r="I4551" t="n">
        <v>0</v>
      </c>
      <c r="J4551" t="n">
        <v>0</v>
      </c>
      <c r="K4551" t="n">
        <v>0</v>
      </c>
      <c r="L4551" t="n">
        <v>0</v>
      </c>
      <c r="M4551" t="n">
        <v>0</v>
      </c>
      <c r="N4551" t="n">
        <v>0</v>
      </c>
      <c r="O4551" t="n">
        <v>0</v>
      </c>
      <c r="P4551" t="n">
        <v>0</v>
      </c>
      <c r="Q4551" t="n">
        <v>0</v>
      </c>
      <c r="R4551" s="2" t="inlineStr"/>
    </row>
    <row r="4552" ht="15" customHeight="1">
      <c r="A4552" t="inlineStr">
        <is>
          <t>A 46605-2025</t>
        </is>
      </c>
      <c r="B4552" s="1" t="n">
        <v>45926.41214120371</v>
      </c>
      <c r="C4552" s="1" t="n">
        <v>45962</v>
      </c>
      <c r="D4552" t="inlineStr">
        <is>
          <t>SKÅNE LÄN</t>
        </is>
      </c>
      <c r="E4552" t="inlineStr">
        <is>
          <t>HÄSSLEHOLM</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37983-2024</t>
        </is>
      </c>
      <c r="B4553" s="1" t="n">
        <v>45544</v>
      </c>
      <c r="C4553" s="1" t="n">
        <v>45962</v>
      </c>
      <c r="D4553" t="inlineStr">
        <is>
          <t>SKÅNE LÄN</t>
        </is>
      </c>
      <c r="E4553" t="inlineStr">
        <is>
          <t>KRISTIANSTAD</t>
        </is>
      </c>
      <c r="G4553" t="n">
        <v>7.9</v>
      </c>
      <c r="H4553" t="n">
        <v>0</v>
      </c>
      <c r="I4553" t="n">
        <v>0</v>
      </c>
      <c r="J4553" t="n">
        <v>0</v>
      </c>
      <c r="K4553" t="n">
        <v>0</v>
      </c>
      <c r="L4553" t="n">
        <v>0</v>
      </c>
      <c r="M4553" t="n">
        <v>0</v>
      </c>
      <c r="N4553" t="n">
        <v>0</v>
      </c>
      <c r="O4553" t="n">
        <v>0</v>
      </c>
      <c r="P4553" t="n">
        <v>0</v>
      </c>
      <c r="Q4553" t="n">
        <v>0</v>
      </c>
      <c r="R4553" s="2" t="inlineStr"/>
    </row>
    <row r="4554" ht="15" customHeight="1">
      <c r="A4554" t="inlineStr">
        <is>
          <t>A 40916-2024</t>
        </is>
      </c>
      <c r="B4554" s="1" t="n">
        <v>45558.63395833333</v>
      </c>
      <c r="C4554" s="1" t="n">
        <v>45962</v>
      </c>
      <c r="D4554" t="inlineStr">
        <is>
          <t>SKÅNE LÄN</t>
        </is>
      </c>
      <c r="E4554" t="inlineStr">
        <is>
          <t>KRISTIANSTAD</t>
        </is>
      </c>
      <c r="F4554" t="inlineStr">
        <is>
          <t>Övriga Aktiebolag</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46194-2024</t>
        </is>
      </c>
      <c r="B4555" s="1" t="n">
        <v>45581.51094907407</v>
      </c>
      <c r="C4555" s="1" t="n">
        <v>45962</v>
      </c>
      <c r="D4555" t="inlineStr">
        <is>
          <t>SKÅNE LÄN</t>
        </is>
      </c>
      <c r="E4555" t="inlineStr">
        <is>
          <t>KRISTIANSTAD</t>
        </is>
      </c>
      <c r="F4555" t="inlineStr">
        <is>
          <t>Övriga Aktiebolag</t>
        </is>
      </c>
      <c r="G4555" t="n">
        <v>4.6</v>
      </c>
      <c r="H4555" t="n">
        <v>0</v>
      </c>
      <c r="I4555" t="n">
        <v>0</v>
      </c>
      <c r="J4555" t="n">
        <v>0</v>
      </c>
      <c r="K4555" t="n">
        <v>0</v>
      </c>
      <c r="L4555" t="n">
        <v>0</v>
      </c>
      <c r="M4555" t="n">
        <v>0</v>
      </c>
      <c r="N4555" t="n">
        <v>0</v>
      </c>
      <c r="O4555" t="n">
        <v>0</v>
      </c>
      <c r="P4555" t="n">
        <v>0</v>
      </c>
      <c r="Q4555" t="n">
        <v>0</v>
      </c>
      <c r="R4555" s="2" t="inlineStr"/>
    </row>
    <row r="4556" ht="15" customHeight="1">
      <c r="A4556" t="inlineStr">
        <is>
          <t>A 40973-2024</t>
        </is>
      </c>
      <c r="B4556" s="1" t="n">
        <v>45558.67956018518</v>
      </c>
      <c r="C4556" s="1" t="n">
        <v>45962</v>
      </c>
      <c r="D4556" t="inlineStr">
        <is>
          <t>SKÅNE LÄN</t>
        </is>
      </c>
      <c r="E4556" t="inlineStr">
        <is>
          <t>KRISTIANSTAD</t>
        </is>
      </c>
      <c r="F4556" t="inlineStr">
        <is>
          <t>Övriga Aktiebolag</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40975-2024</t>
        </is>
      </c>
      <c r="B4557" s="1" t="n">
        <v>45558.68189814815</v>
      </c>
      <c r="C4557" s="1" t="n">
        <v>45962</v>
      </c>
      <c r="D4557" t="inlineStr">
        <is>
          <t>SKÅNE LÄN</t>
        </is>
      </c>
      <c r="E4557" t="inlineStr">
        <is>
          <t>KRISTIANSTAD</t>
        </is>
      </c>
      <c r="F4557" t="inlineStr">
        <is>
          <t>Övriga Aktiebolag</t>
        </is>
      </c>
      <c r="G4557" t="n">
        <v>3.5</v>
      </c>
      <c r="H4557" t="n">
        <v>0</v>
      </c>
      <c r="I4557" t="n">
        <v>0</v>
      </c>
      <c r="J4557" t="n">
        <v>0</v>
      </c>
      <c r="K4557" t="n">
        <v>0</v>
      </c>
      <c r="L4557" t="n">
        <v>0</v>
      </c>
      <c r="M4557" t="n">
        <v>0</v>
      </c>
      <c r="N4557" t="n">
        <v>0</v>
      </c>
      <c r="O4557" t="n">
        <v>0</v>
      </c>
      <c r="P4557" t="n">
        <v>0</v>
      </c>
      <c r="Q4557" t="n">
        <v>0</v>
      </c>
      <c r="R4557" s="2" t="inlineStr"/>
    </row>
    <row r="4558" ht="15" customHeight="1">
      <c r="A4558" t="inlineStr">
        <is>
          <t>A 45443-2025</t>
        </is>
      </c>
      <c r="B4558" s="1" t="n">
        <v>45920</v>
      </c>
      <c r="C4558" s="1" t="n">
        <v>45962</v>
      </c>
      <c r="D4558" t="inlineStr">
        <is>
          <t>SKÅNE LÄN</t>
        </is>
      </c>
      <c r="E4558" t="inlineStr">
        <is>
          <t>HÄSSLEHOLM</t>
        </is>
      </c>
      <c r="G4558" t="n">
        <v>1.6</v>
      </c>
      <c r="H4558" t="n">
        <v>0</v>
      </c>
      <c r="I4558" t="n">
        <v>0</v>
      </c>
      <c r="J4558" t="n">
        <v>0</v>
      </c>
      <c r="K4558" t="n">
        <v>0</v>
      </c>
      <c r="L4558" t="n">
        <v>0</v>
      </c>
      <c r="M4558" t="n">
        <v>0</v>
      </c>
      <c r="N4558" t="n">
        <v>0</v>
      </c>
      <c r="O4558" t="n">
        <v>0</v>
      </c>
      <c r="P4558" t="n">
        <v>0</v>
      </c>
      <c r="Q4558" t="n">
        <v>0</v>
      </c>
      <c r="R4558" s="2" t="inlineStr"/>
    </row>
    <row r="4559" ht="15" customHeight="1">
      <c r="A4559" t="inlineStr">
        <is>
          <t>A 32021-2023</t>
        </is>
      </c>
      <c r="B4559" s="1" t="n">
        <v>45119</v>
      </c>
      <c r="C4559" s="1" t="n">
        <v>45962</v>
      </c>
      <c r="D4559" t="inlineStr">
        <is>
          <t>SKÅNE LÄN</t>
        </is>
      </c>
      <c r="E4559" t="inlineStr">
        <is>
          <t>KRISTIANSTAD</t>
        </is>
      </c>
      <c r="G4559" t="n">
        <v>3.2</v>
      </c>
      <c r="H4559" t="n">
        <v>0</v>
      </c>
      <c r="I4559" t="n">
        <v>0</v>
      </c>
      <c r="J4559" t="n">
        <v>0</v>
      </c>
      <c r="K4559" t="n">
        <v>0</v>
      </c>
      <c r="L4559" t="n">
        <v>0</v>
      </c>
      <c r="M4559" t="n">
        <v>0</v>
      </c>
      <c r="N4559" t="n">
        <v>0</v>
      </c>
      <c r="O4559" t="n">
        <v>0</v>
      </c>
      <c r="P4559" t="n">
        <v>0</v>
      </c>
      <c r="Q4559" t="n">
        <v>0</v>
      </c>
      <c r="R4559" s="2" t="inlineStr"/>
    </row>
    <row r="4560" ht="15" customHeight="1">
      <c r="A4560" t="inlineStr">
        <is>
          <t>A 51903-2024</t>
        </is>
      </c>
      <c r="B4560" s="1" t="n">
        <v>45607.59041666667</v>
      </c>
      <c r="C4560" s="1" t="n">
        <v>45962</v>
      </c>
      <c r="D4560" t="inlineStr">
        <is>
          <t>SKÅNE LÄN</t>
        </is>
      </c>
      <c r="E4560" t="inlineStr">
        <is>
          <t>KRISTIANSTAD</t>
        </is>
      </c>
      <c r="F4560" t="inlineStr">
        <is>
          <t>Övriga Aktiebolag</t>
        </is>
      </c>
      <c r="G4560" t="n">
        <v>5.7</v>
      </c>
      <c r="H4560" t="n">
        <v>0</v>
      </c>
      <c r="I4560" t="n">
        <v>0</v>
      </c>
      <c r="J4560" t="n">
        <v>0</v>
      </c>
      <c r="K4560" t="n">
        <v>0</v>
      </c>
      <c r="L4560" t="n">
        <v>0</v>
      </c>
      <c r="M4560" t="n">
        <v>0</v>
      </c>
      <c r="N4560" t="n">
        <v>0</v>
      </c>
      <c r="O4560" t="n">
        <v>0</v>
      </c>
      <c r="P4560" t="n">
        <v>0</v>
      </c>
      <c r="Q4560" t="n">
        <v>0</v>
      </c>
      <c r="R4560" s="2" t="inlineStr"/>
    </row>
    <row r="4561" ht="15" customHeight="1">
      <c r="A4561" t="inlineStr">
        <is>
          <t>A 51898-2024</t>
        </is>
      </c>
      <c r="B4561" s="1" t="n">
        <v>45607.58175925926</v>
      </c>
      <c r="C4561" s="1" t="n">
        <v>45962</v>
      </c>
      <c r="D4561" t="inlineStr">
        <is>
          <t>SKÅNE LÄN</t>
        </is>
      </c>
      <c r="E4561" t="inlineStr">
        <is>
          <t>KRISTIANSTAD</t>
        </is>
      </c>
      <c r="F4561" t="inlineStr">
        <is>
          <t>Övriga Aktiebolag</t>
        </is>
      </c>
      <c r="G4561" t="n">
        <v>3.7</v>
      </c>
      <c r="H4561" t="n">
        <v>0</v>
      </c>
      <c r="I4561" t="n">
        <v>0</v>
      </c>
      <c r="J4561" t="n">
        <v>0</v>
      </c>
      <c r="K4561" t="n">
        <v>0</v>
      </c>
      <c r="L4561" t="n">
        <v>0</v>
      </c>
      <c r="M4561" t="n">
        <v>0</v>
      </c>
      <c r="N4561" t="n">
        <v>0</v>
      </c>
      <c r="O4561" t="n">
        <v>0</v>
      </c>
      <c r="P4561" t="n">
        <v>0</v>
      </c>
      <c r="Q4561" t="n">
        <v>0</v>
      </c>
      <c r="R4561" s="2" t="inlineStr"/>
    </row>
    <row r="4562" ht="15" customHeight="1">
      <c r="A4562" t="inlineStr">
        <is>
          <t>A 45556-2025</t>
        </is>
      </c>
      <c r="B4562" s="1" t="n">
        <v>45922.64444444444</v>
      </c>
      <c r="C4562" s="1" t="n">
        <v>45962</v>
      </c>
      <c r="D4562" t="inlineStr">
        <is>
          <t>SKÅNE LÄN</t>
        </is>
      </c>
      <c r="E4562" t="inlineStr">
        <is>
          <t>ÖRKELLJUNGA</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49686-2023</t>
        </is>
      </c>
      <c r="B4563" s="1" t="n">
        <v>45212.36239583333</v>
      </c>
      <c r="C4563" s="1" t="n">
        <v>45962</v>
      </c>
      <c r="D4563" t="inlineStr">
        <is>
          <t>SKÅNE LÄN</t>
        </is>
      </c>
      <c r="E4563" t="inlineStr">
        <is>
          <t>KLIPPAN</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49520-2021</t>
        </is>
      </c>
      <c r="B4564" s="1" t="n">
        <v>44455</v>
      </c>
      <c r="C4564" s="1" t="n">
        <v>45962</v>
      </c>
      <c r="D4564" t="inlineStr">
        <is>
          <t>SKÅNE LÄN</t>
        </is>
      </c>
      <c r="E4564" t="inlineStr">
        <is>
          <t>KRISTIANSTAD</t>
        </is>
      </c>
      <c r="G4564" t="n">
        <v>0.2</v>
      </c>
      <c r="H4564" t="n">
        <v>0</v>
      </c>
      <c r="I4564" t="n">
        <v>0</v>
      </c>
      <c r="J4564" t="n">
        <v>0</v>
      </c>
      <c r="K4564" t="n">
        <v>0</v>
      </c>
      <c r="L4564" t="n">
        <v>0</v>
      </c>
      <c r="M4564" t="n">
        <v>0</v>
      </c>
      <c r="N4564" t="n">
        <v>0</v>
      </c>
      <c r="O4564" t="n">
        <v>0</v>
      </c>
      <c r="P4564" t="n">
        <v>0</v>
      </c>
      <c r="Q4564" t="n">
        <v>0</v>
      </c>
      <c r="R4564" s="2" t="inlineStr"/>
    </row>
    <row r="4565" ht="15" customHeight="1">
      <c r="A4565" t="inlineStr">
        <is>
          <t>A 45496-2025</t>
        </is>
      </c>
      <c r="B4565" s="1" t="n">
        <v>45922</v>
      </c>
      <c r="C4565" s="1" t="n">
        <v>45962</v>
      </c>
      <c r="D4565" t="inlineStr">
        <is>
          <t>SKÅNE LÄN</t>
        </is>
      </c>
      <c r="E4565" t="inlineStr">
        <is>
          <t>HÄSSLEHOLM</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47180-2025</t>
        </is>
      </c>
      <c r="B4566" s="1" t="n">
        <v>45930</v>
      </c>
      <c r="C4566" s="1" t="n">
        <v>45962</v>
      </c>
      <c r="D4566" t="inlineStr">
        <is>
          <t>SKÅNE LÄN</t>
        </is>
      </c>
      <c r="E4566" t="inlineStr">
        <is>
          <t>SJÖBO</t>
        </is>
      </c>
      <c r="G4566" t="n">
        <v>0.9</v>
      </c>
      <c r="H4566" t="n">
        <v>0</v>
      </c>
      <c r="I4566" t="n">
        <v>0</v>
      </c>
      <c r="J4566" t="n">
        <v>0</v>
      </c>
      <c r="K4566" t="n">
        <v>0</v>
      </c>
      <c r="L4566" t="n">
        <v>0</v>
      </c>
      <c r="M4566" t="n">
        <v>0</v>
      </c>
      <c r="N4566" t="n">
        <v>0</v>
      </c>
      <c r="O4566" t="n">
        <v>0</v>
      </c>
      <c r="P4566" t="n">
        <v>0</v>
      </c>
      <c r="Q4566" t="n">
        <v>0</v>
      </c>
      <c r="R4566" s="2" t="inlineStr"/>
    </row>
    <row r="4567" ht="15" customHeight="1">
      <c r="A4567" t="inlineStr">
        <is>
          <t>A 7546-2022</t>
        </is>
      </c>
      <c r="B4567" s="1" t="n">
        <v>44607</v>
      </c>
      <c r="C4567" s="1" t="n">
        <v>45962</v>
      </c>
      <c r="D4567" t="inlineStr">
        <is>
          <t>SKÅNE LÄN</t>
        </is>
      </c>
      <c r="E4567" t="inlineStr">
        <is>
          <t>KRISTIANSTAD</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37712-2025</t>
        </is>
      </c>
      <c r="B4568" s="1" t="n">
        <v>45880</v>
      </c>
      <c r="C4568" s="1" t="n">
        <v>45962</v>
      </c>
      <c r="D4568" t="inlineStr">
        <is>
          <t>SKÅNE LÄN</t>
        </is>
      </c>
      <c r="E4568" t="inlineStr">
        <is>
          <t>ÖSTRA GÖINGE</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1098-2025</t>
        </is>
      </c>
      <c r="B4569" s="1" t="n">
        <v>45666.64070601852</v>
      </c>
      <c r="C4569" s="1" t="n">
        <v>45962</v>
      </c>
      <c r="D4569" t="inlineStr">
        <is>
          <t>SKÅNE LÄN</t>
        </is>
      </c>
      <c r="E4569" t="inlineStr">
        <is>
          <t>SJÖBO</t>
        </is>
      </c>
      <c r="G4569" t="n">
        <v>2.2</v>
      </c>
      <c r="H4569" t="n">
        <v>0</v>
      </c>
      <c r="I4569" t="n">
        <v>0</v>
      </c>
      <c r="J4569" t="n">
        <v>0</v>
      </c>
      <c r="K4569" t="n">
        <v>0</v>
      </c>
      <c r="L4569" t="n">
        <v>0</v>
      </c>
      <c r="M4569" t="n">
        <v>0</v>
      </c>
      <c r="N4569" t="n">
        <v>0</v>
      </c>
      <c r="O4569" t="n">
        <v>0</v>
      </c>
      <c r="P4569" t="n">
        <v>0</v>
      </c>
      <c r="Q4569" t="n">
        <v>0</v>
      </c>
      <c r="R4569" s="2" t="inlineStr"/>
    </row>
    <row r="4570" ht="15" customHeight="1">
      <c r="A4570" t="inlineStr">
        <is>
          <t>A 32981-2025</t>
        </is>
      </c>
      <c r="B4570" s="1" t="n">
        <v>45839.86820601852</v>
      </c>
      <c r="C4570" s="1" t="n">
        <v>45962</v>
      </c>
      <c r="D4570" t="inlineStr">
        <is>
          <t>SKÅNE LÄN</t>
        </is>
      </c>
      <c r="E4570" t="inlineStr">
        <is>
          <t>HÄSSLEHOLM</t>
        </is>
      </c>
      <c r="G4570" t="n">
        <v>2.7</v>
      </c>
      <c r="H4570" t="n">
        <v>0</v>
      </c>
      <c r="I4570" t="n">
        <v>0</v>
      </c>
      <c r="J4570" t="n">
        <v>0</v>
      </c>
      <c r="K4570" t="n">
        <v>0</v>
      </c>
      <c r="L4570" t="n">
        <v>0</v>
      </c>
      <c r="M4570" t="n">
        <v>0</v>
      </c>
      <c r="N4570" t="n">
        <v>0</v>
      </c>
      <c r="O4570" t="n">
        <v>0</v>
      </c>
      <c r="P4570" t="n">
        <v>0</v>
      </c>
      <c r="Q4570" t="n">
        <v>0</v>
      </c>
      <c r="R4570" s="2" t="inlineStr"/>
    </row>
    <row r="4571" ht="15" customHeight="1">
      <c r="A4571" t="inlineStr">
        <is>
          <t>A 39457-2025</t>
        </is>
      </c>
      <c r="B4571" s="1" t="n">
        <v>45889.76887731482</v>
      </c>
      <c r="C4571" s="1" t="n">
        <v>45962</v>
      </c>
      <c r="D4571" t="inlineStr">
        <is>
          <t>SKÅNE LÄN</t>
        </is>
      </c>
      <c r="E4571" t="inlineStr">
        <is>
          <t>HÄSSLEHOLM</t>
        </is>
      </c>
      <c r="G4571" t="n">
        <v>6.6</v>
      </c>
      <c r="H4571" t="n">
        <v>0</v>
      </c>
      <c r="I4571" t="n">
        <v>0</v>
      </c>
      <c r="J4571" t="n">
        <v>0</v>
      </c>
      <c r="K4571" t="n">
        <v>0</v>
      </c>
      <c r="L4571" t="n">
        <v>0</v>
      </c>
      <c r="M4571" t="n">
        <v>0</v>
      </c>
      <c r="N4571" t="n">
        <v>0</v>
      </c>
      <c r="O4571" t="n">
        <v>0</v>
      </c>
      <c r="P4571" t="n">
        <v>0</v>
      </c>
      <c r="Q4571" t="n">
        <v>0</v>
      </c>
      <c r="R4571" s="2" t="inlineStr"/>
    </row>
    <row r="4572" ht="15" customHeight="1">
      <c r="A4572" t="inlineStr">
        <is>
          <t>A 42006-2025</t>
        </is>
      </c>
      <c r="B4572" s="1" t="n">
        <v>45903</v>
      </c>
      <c r="C4572" s="1" t="n">
        <v>45962</v>
      </c>
      <c r="D4572" t="inlineStr">
        <is>
          <t>SKÅNE LÄN</t>
        </is>
      </c>
      <c r="E4572" t="inlineStr">
        <is>
          <t>KLIPPAN</t>
        </is>
      </c>
      <c r="G4572" t="n">
        <v>1.8</v>
      </c>
      <c r="H4572" t="n">
        <v>0</v>
      </c>
      <c r="I4572" t="n">
        <v>0</v>
      </c>
      <c r="J4572" t="n">
        <v>0</v>
      </c>
      <c r="K4572" t="n">
        <v>0</v>
      </c>
      <c r="L4572" t="n">
        <v>0</v>
      </c>
      <c r="M4572" t="n">
        <v>0</v>
      </c>
      <c r="N4572" t="n">
        <v>0</v>
      </c>
      <c r="O4572" t="n">
        <v>0</v>
      </c>
      <c r="P4572" t="n">
        <v>0</v>
      </c>
      <c r="Q4572" t="n">
        <v>0</v>
      </c>
      <c r="R4572" s="2" t="inlineStr"/>
    </row>
    <row r="4573" ht="15" customHeight="1">
      <c r="A4573" t="inlineStr">
        <is>
          <t>A 48171-2025</t>
        </is>
      </c>
      <c r="B4573" s="1" t="n">
        <v>45933.43429398148</v>
      </c>
      <c r="C4573" s="1" t="n">
        <v>45962</v>
      </c>
      <c r="D4573" t="inlineStr">
        <is>
          <t>SKÅNE LÄN</t>
        </is>
      </c>
      <c r="E4573" t="inlineStr">
        <is>
          <t>TOMELILLA</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48184-2025</t>
        </is>
      </c>
      <c r="B4574" s="1" t="n">
        <v>45933.46131944445</v>
      </c>
      <c r="C4574" s="1" t="n">
        <v>45962</v>
      </c>
      <c r="D4574" t="inlineStr">
        <is>
          <t>SKÅNE LÄN</t>
        </is>
      </c>
      <c r="E4574" t="inlineStr">
        <is>
          <t>HÄSSLEHOLM</t>
        </is>
      </c>
      <c r="G4574" t="n">
        <v>3</v>
      </c>
      <c r="H4574" t="n">
        <v>0</v>
      </c>
      <c r="I4574" t="n">
        <v>0</v>
      </c>
      <c r="J4574" t="n">
        <v>0</v>
      </c>
      <c r="K4574" t="n">
        <v>0</v>
      </c>
      <c r="L4574" t="n">
        <v>0</v>
      </c>
      <c r="M4574" t="n">
        <v>0</v>
      </c>
      <c r="N4574" t="n">
        <v>0</v>
      </c>
      <c r="O4574" t="n">
        <v>0</v>
      </c>
      <c r="P4574" t="n">
        <v>0</v>
      </c>
      <c r="Q4574" t="n">
        <v>0</v>
      </c>
      <c r="R4574" s="2" t="inlineStr"/>
    </row>
    <row r="4575" ht="15" customHeight="1">
      <c r="A4575" t="inlineStr">
        <is>
          <t>A 30140-2024</t>
        </is>
      </c>
      <c r="B4575" s="1" t="n">
        <v>45489</v>
      </c>
      <c r="C4575" s="1" t="n">
        <v>45962</v>
      </c>
      <c r="D4575" t="inlineStr">
        <is>
          <t>SKÅNE LÄN</t>
        </is>
      </c>
      <c r="E4575" t="inlineStr">
        <is>
          <t>ÖSTRA GÖINGE</t>
        </is>
      </c>
      <c r="G4575" t="n">
        <v>8.1</v>
      </c>
      <c r="H4575" t="n">
        <v>0</v>
      </c>
      <c r="I4575" t="n">
        <v>0</v>
      </c>
      <c r="J4575" t="n">
        <v>0</v>
      </c>
      <c r="K4575" t="n">
        <v>0</v>
      </c>
      <c r="L4575" t="n">
        <v>0</v>
      </c>
      <c r="M4575" t="n">
        <v>0</v>
      </c>
      <c r="N4575" t="n">
        <v>0</v>
      </c>
      <c r="O4575" t="n">
        <v>0</v>
      </c>
      <c r="P4575" t="n">
        <v>0</v>
      </c>
      <c r="Q4575" t="n">
        <v>0</v>
      </c>
      <c r="R4575" s="2" t="inlineStr"/>
    </row>
    <row r="4576" ht="15" customHeight="1">
      <c r="A4576" t="inlineStr">
        <is>
          <t>A 45683-2025</t>
        </is>
      </c>
      <c r="B4576" s="1" t="n">
        <v>45923.37590277778</v>
      </c>
      <c r="C4576" s="1" t="n">
        <v>45962</v>
      </c>
      <c r="D4576" t="inlineStr">
        <is>
          <t>SKÅNE LÄN</t>
        </is>
      </c>
      <c r="E4576" t="inlineStr">
        <is>
          <t>HÄSSLEHOLM</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39937-2025</t>
        </is>
      </c>
      <c r="B4577" s="1" t="n">
        <v>45891.73162037037</v>
      </c>
      <c r="C4577" s="1" t="n">
        <v>45962</v>
      </c>
      <c r="D4577" t="inlineStr">
        <is>
          <t>SKÅNE LÄN</t>
        </is>
      </c>
      <c r="E4577" t="inlineStr">
        <is>
          <t>HÄSSLEHOLM</t>
        </is>
      </c>
      <c r="G4577" t="n">
        <v>4.5</v>
      </c>
      <c r="H4577" t="n">
        <v>0</v>
      </c>
      <c r="I4577" t="n">
        <v>0</v>
      </c>
      <c r="J4577" t="n">
        <v>0</v>
      </c>
      <c r="K4577" t="n">
        <v>0</v>
      </c>
      <c r="L4577" t="n">
        <v>0</v>
      </c>
      <c r="M4577" t="n">
        <v>0</v>
      </c>
      <c r="N4577" t="n">
        <v>0</v>
      </c>
      <c r="O4577" t="n">
        <v>0</v>
      </c>
      <c r="P4577" t="n">
        <v>0</v>
      </c>
      <c r="Q4577" t="n">
        <v>0</v>
      </c>
      <c r="R4577" s="2" t="inlineStr"/>
    </row>
    <row r="4578" ht="15" customHeight="1">
      <c r="A4578" t="inlineStr">
        <is>
          <t>A 35802-2023</t>
        </is>
      </c>
      <c r="B4578" s="1" t="n">
        <v>45148</v>
      </c>
      <c r="C4578" s="1" t="n">
        <v>45962</v>
      </c>
      <c r="D4578" t="inlineStr">
        <is>
          <t>SKÅNE LÄN</t>
        </is>
      </c>
      <c r="E4578" t="inlineStr">
        <is>
          <t>BROMÖLLA</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48889-2024</t>
        </is>
      </c>
      <c r="B4579" s="1" t="n">
        <v>45594.33754629629</v>
      </c>
      <c r="C4579" s="1" t="n">
        <v>45962</v>
      </c>
      <c r="D4579" t="inlineStr">
        <is>
          <t>SKÅNE LÄN</t>
        </is>
      </c>
      <c r="E4579" t="inlineStr">
        <is>
          <t>HÄSSLEHOLM</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48185-2025</t>
        </is>
      </c>
      <c r="B4580" s="1" t="n">
        <v>45933.46434027778</v>
      </c>
      <c r="C4580" s="1" t="n">
        <v>45962</v>
      </c>
      <c r="D4580" t="inlineStr">
        <is>
          <t>SKÅNE LÄN</t>
        </is>
      </c>
      <c r="E4580" t="inlineStr">
        <is>
          <t>HÄSSLEHOLM</t>
        </is>
      </c>
      <c r="G4580" t="n">
        <v>0.5</v>
      </c>
      <c r="H4580" t="n">
        <v>0</v>
      </c>
      <c r="I4580" t="n">
        <v>0</v>
      </c>
      <c r="J4580" t="n">
        <v>0</v>
      </c>
      <c r="K4580" t="n">
        <v>0</v>
      </c>
      <c r="L4580" t="n">
        <v>0</v>
      </c>
      <c r="M4580" t="n">
        <v>0</v>
      </c>
      <c r="N4580" t="n">
        <v>0</v>
      </c>
      <c r="O4580" t="n">
        <v>0</v>
      </c>
      <c r="P4580" t="n">
        <v>0</v>
      </c>
      <c r="Q4580" t="n">
        <v>0</v>
      </c>
      <c r="R4580" s="2" t="inlineStr"/>
    </row>
    <row r="4581" ht="15" customHeight="1">
      <c r="A4581" t="inlineStr">
        <is>
          <t>A 37907-2025</t>
        </is>
      </c>
      <c r="B4581" s="1" t="n">
        <v>45880</v>
      </c>
      <c r="C4581" s="1" t="n">
        <v>45962</v>
      </c>
      <c r="D4581" t="inlineStr">
        <is>
          <t>SKÅNE LÄN</t>
        </is>
      </c>
      <c r="E4581" t="inlineStr">
        <is>
          <t>SVALÖV</t>
        </is>
      </c>
      <c r="F4581" t="inlineStr">
        <is>
          <t>Kyrkan</t>
        </is>
      </c>
      <c r="G4581" t="n">
        <v>5.7</v>
      </c>
      <c r="H4581" t="n">
        <v>0</v>
      </c>
      <c r="I4581" t="n">
        <v>0</v>
      </c>
      <c r="J4581" t="n">
        <v>0</v>
      </c>
      <c r="K4581" t="n">
        <v>0</v>
      </c>
      <c r="L4581" t="n">
        <v>0</v>
      </c>
      <c r="M4581" t="n">
        <v>0</v>
      </c>
      <c r="N4581" t="n">
        <v>0</v>
      </c>
      <c r="O4581" t="n">
        <v>0</v>
      </c>
      <c r="P4581" t="n">
        <v>0</v>
      </c>
      <c r="Q4581" t="n">
        <v>0</v>
      </c>
      <c r="R4581" s="2" t="inlineStr"/>
    </row>
    <row r="4582" ht="15" customHeight="1">
      <c r="A4582" t="inlineStr">
        <is>
          <t>A 68856-2021</t>
        </is>
      </c>
      <c r="B4582" s="1" t="n">
        <v>44530</v>
      </c>
      <c r="C4582" s="1" t="n">
        <v>45962</v>
      </c>
      <c r="D4582" t="inlineStr">
        <is>
          <t>SKÅNE LÄN</t>
        </is>
      </c>
      <c r="E4582" t="inlineStr">
        <is>
          <t>KLIPPAN</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27529-2025</t>
        </is>
      </c>
      <c r="B4583" s="1" t="n">
        <v>45813</v>
      </c>
      <c r="C4583" s="1" t="n">
        <v>45962</v>
      </c>
      <c r="D4583" t="inlineStr">
        <is>
          <t>SKÅNE LÄN</t>
        </is>
      </c>
      <c r="E4583" t="inlineStr">
        <is>
          <t>KLIPPAN</t>
        </is>
      </c>
      <c r="F4583" t="inlineStr">
        <is>
          <t>Övriga Aktiebolag</t>
        </is>
      </c>
      <c r="G4583" t="n">
        <v>7.9</v>
      </c>
      <c r="H4583" t="n">
        <v>0</v>
      </c>
      <c r="I4583" t="n">
        <v>0</v>
      </c>
      <c r="J4583" t="n">
        <v>0</v>
      </c>
      <c r="K4583" t="n">
        <v>0</v>
      </c>
      <c r="L4583" t="n">
        <v>0</v>
      </c>
      <c r="M4583" t="n">
        <v>0</v>
      </c>
      <c r="N4583" t="n">
        <v>0</v>
      </c>
      <c r="O4583" t="n">
        <v>0</v>
      </c>
      <c r="P4583" t="n">
        <v>0</v>
      </c>
      <c r="Q4583" t="n">
        <v>0</v>
      </c>
      <c r="R4583" s="2" t="inlineStr"/>
    </row>
    <row r="4584" ht="15" customHeight="1">
      <c r="A4584" t="inlineStr">
        <is>
          <t>A 8263-2025</t>
        </is>
      </c>
      <c r="B4584" s="1" t="n">
        <v>45708.50398148148</v>
      </c>
      <c r="C4584" s="1" t="n">
        <v>45962</v>
      </c>
      <c r="D4584" t="inlineStr">
        <is>
          <t>SKÅNE LÄN</t>
        </is>
      </c>
      <c r="E4584" t="inlineStr">
        <is>
          <t>HÄSSLEHOLM</t>
        </is>
      </c>
      <c r="G4584" t="n">
        <v>2.9</v>
      </c>
      <c r="H4584" t="n">
        <v>0</v>
      </c>
      <c r="I4584" t="n">
        <v>0</v>
      </c>
      <c r="J4584" t="n">
        <v>0</v>
      </c>
      <c r="K4584" t="n">
        <v>0</v>
      </c>
      <c r="L4584" t="n">
        <v>0</v>
      </c>
      <c r="M4584" t="n">
        <v>0</v>
      </c>
      <c r="N4584" t="n">
        <v>0</v>
      </c>
      <c r="O4584" t="n">
        <v>0</v>
      </c>
      <c r="P4584" t="n">
        <v>0</v>
      </c>
      <c r="Q4584" t="n">
        <v>0</v>
      </c>
      <c r="R4584" s="2" t="inlineStr"/>
    </row>
    <row r="4585" ht="15" customHeight="1">
      <c r="A4585" t="inlineStr">
        <is>
          <t>A 35692-2024</t>
        </is>
      </c>
      <c r="B4585" s="1" t="n">
        <v>45532</v>
      </c>
      <c r="C4585" s="1" t="n">
        <v>45962</v>
      </c>
      <c r="D4585" t="inlineStr">
        <is>
          <t>SKÅNE LÄN</t>
        </is>
      </c>
      <c r="E4585" t="inlineStr">
        <is>
          <t>SIMRISHAMN</t>
        </is>
      </c>
      <c r="G4585" t="n">
        <v>0</v>
      </c>
      <c r="H4585" t="n">
        <v>0</v>
      </c>
      <c r="I4585" t="n">
        <v>0</v>
      </c>
      <c r="J4585" t="n">
        <v>0</v>
      </c>
      <c r="K4585" t="n">
        <v>0</v>
      </c>
      <c r="L4585" t="n">
        <v>0</v>
      </c>
      <c r="M4585" t="n">
        <v>0</v>
      </c>
      <c r="N4585" t="n">
        <v>0</v>
      </c>
      <c r="O4585" t="n">
        <v>0</v>
      </c>
      <c r="P4585" t="n">
        <v>0</v>
      </c>
      <c r="Q4585" t="n">
        <v>0</v>
      </c>
      <c r="R4585" s="2" t="inlineStr"/>
    </row>
    <row r="4586" ht="15" customHeight="1">
      <c r="A4586" t="inlineStr">
        <is>
          <t>A 40395-2024</t>
        </is>
      </c>
      <c r="B4586" s="1" t="n">
        <v>45555.43620370371</v>
      </c>
      <c r="C4586" s="1" t="n">
        <v>45962</v>
      </c>
      <c r="D4586" t="inlineStr">
        <is>
          <t>SKÅNE LÄN</t>
        </is>
      </c>
      <c r="E4586" t="inlineStr">
        <is>
          <t>OSBY</t>
        </is>
      </c>
      <c r="G4586" t="n">
        <v>3.1</v>
      </c>
      <c r="H4586" t="n">
        <v>0</v>
      </c>
      <c r="I4586" t="n">
        <v>0</v>
      </c>
      <c r="J4586" t="n">
        <v>0</v>
      </c>
      <c r="K4586" t="n">
        <v>0</v>
      </c>
      <c r="L4586" t="n">
        <v>0</v>
      </c>
      <c r="M4586" t="n">
        <v>0</v>
      </c>
      <c r="N4586" t="n">
        <v>0</v>
      </c>
      <c r="O4586" t="n">
        <v>0</v>
      </c>
      <c r="P4586" t="n">
        <v>0</v>
      </c>
      <c r="Q4586" t="n">
        <v>0</v>
      </c>
      <c r="R4586" s="2" t="inlineStr"/>
    </row>
    <row r="4587" ht="15" customHeight="1">
      <c r="A4587" t="inlineStr">
        <is>
          <t>A 45414-2025</t>
        </is>
      </c>
      <c r="B4587" s="1" t="n">
        <v>45920</v>
      </c>
      <c r="C4587" s="1" t="n">
        <v>45962</v>
      </c>
      <c r="D4587" t="inlineStr">
        <is>
          <t>SKÅNE LÄN</t>
        </is>
      </c>
      <c r="E4587" t="inlineStr">
        <is>
          <t>HÄSSLEHOLM</t>
        </is>
      </c>
      <c r="G4587" t="n">
        <v>14.7</v>
      </c>
      <c r="H4587" t="n">
        <v>0</v>
      </c>
      <c r="I4587" t="n">
        <v>0</v>
      </c>
      <c r="J4587" t="n">
        <v>0</v>
      </c>
      <c r="K4587" t="n">
        <v>0</v>
      </c>
      <c r="L4587" t="n">
        <v>0</v>
      </c>
      <c r="M4587" t="n">
        <v>0</v>
      </c>
      <c r="N4587" t="n">
        <v>0</v>
      </c>
      <c r="O4587" t="n">
        <v>0</v>
      </c>
      <c r="P4587" t="n">
        <v>0</v>
      </c>
      <c r="Q4587" t="n">
        <v>0</v>
      </c>
      <c r="R4587" s="2" t="inlineStr"/>
    </row>
    <row r="4588" ht="15" customHeight="1">
      <c r="A4588" t="inlineStr">
        <is>
          <t>A 38400-2024</t>
        </is>
      </c>
      <c r="B4588" s="1" t="n">
        <v>45546</v>
      </c>
      <c r="C4588" s="1" t="n">
        <v>45962</v>
      </c>
      <c r="D4588" t="inlineStr">
        <is>
          <t>SKÅNE LÄN</t>
        </is>
      </c>
      <c r="E4588" t="inlineStr">
        <is>
          <t>KRISTIANSTAD</t>
        </is>
      </c>
      <c r="F4588" t="inlineStr">
        <is>
          <t>Övriga Aktiebolag</t>
        </is>
      </c>
      <c r="G4588" t="n">
        <v>19.8</v>
      </c>
      <c r="H4588" t="n">
        <v>0</v>
      </c>
      <c r="I4588" t="n">
        <v>0</v>
      </c>
      <c r="J4588" t="n">
        <v>0</v>
      </c>
      <c r="K4588" t="n">
        <v>0</v>
      </c>
      <c r="L4588" t="n">
        <v>0</v>
      </c>
      <c r="M4588" t="n">
        <v>0</v>
      </c>
      <c r="N4588" t="n">
        <v>0</v>
      </c>
      <c r="O4588" t="n">
        <v>0</v>
      </c>
      <c r="P4588" t="n">
        <v>0</v>
      </c>
      <c r="Q4588" t="n">
        <v>0</v>
      </c>
      <c r="R4588" s="2" t="inlineStr"/>
    </row>
    <row r="4589" ht="15" customHeight="1">
      <c r="A4589" t="inlineStr">
        <is>
          <t>A 40896-2024</t>
        </is>
      </c>
      <c r="B4589" s="1" t="n">
        <v>45558.61697916667</v>
      </c>
      <c r="C4589" s="1" t="n">
        <v>45962</v>
      </c>
      <c r="D4589" t="inlineStr">
        <is>
          <t>SKÅNE LÄN</t>
        </is>
      </c>
      <c r="E4589" t="inlineStr">
        <is>
          <t>KRISTIANSTAD</t>
        </is>
      </c>
      <c r="F4589" t="inlineStr">
        <is>
          <t>Övriga Aktiebolag</t>
        </is>
      </c>
      <c r="G4589" t="n">
        <v>1.7</v>
      </c>
      <c r="H4589" t="n">
        <v>0</v>
      </c>
      <c r="I4589" t="n">
        <v>0</v>
      </c>
      <c r="J4589" t="n">
        <v>0</v>
      </c>
      <c r="K4589" t="n">
        <v>0</v>
      </c>
      <c r="L4589" t="n">
        <v>0</v>
      </c>
      <c r="M4589" t="n">
        <v>0</v>
      </c>
      <c r="N4589" t="n">
        <v>0</v>
      </c>
      <c r="O4589" t="n">
        <v>0</v>
      </c>
      <c r="P4589" t="n">
        <v>0</v>
      </c>
      <c r="Q4589" t="n">
        <v>0</v>
      </c>
      <c r="R4589" s="2" t="inlineStr"/>
    </row>
    <row r="4590" ht="15" customHeight="1">
      <c r="A4590" t="inlineStr">
        <is>
          <t>A 40903-2024</t>
        </is>
      </c>
      <c r="B4590" s="1" t="n">
        <v>45558.62166666667</v>
      </c>
      <c r="C4590" s="1" t="n">
        <v>45962</v>
      </c>
      <c r="D4590" t="inlineStr">
        <is>
          <t>SKÅNE LÄN</t>
        </is>
      </c>
      <c r="E4590" t="inlineStr">
        <is>
          <t>KRISTIANSTAD</t>
        </is>
      </c>
      <c r="F4590" t="inlineStr">
        <is>
          <t>Övriga Aktiebolag</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40962-2024</t>
        </is>
      </c>
      <c r="B4591" s="1" t="n">
        <v>45558.66828703704</v>
      </c>
      <c r="C4591" s="1" t="n">
        <v>45962</v>
      </c>
      <c r="D4591" t="inlineStr">
        <is>
          <t>SKÅNE LÄN</t>
        </is>
      </c>
      <c r="E4591" t="inlineStr">
        <is>
          <t>KRISTIANSTAD</t>
        </is>
      </c>
      <c r="F4591" t="inlineStr">
        <is>
          <t>Övriga Aktiebolag</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29273-2023</t>
        </is>
      </c>
      <c r="B4592" s="1" t="n">
        <v>45105</v>
      </c>
      <c r="C4592" s="1" t="n">
        <v>45962</v>
      </c>
      <c r="D4592" t="inlineStr">
        <is>
          <t>SKÅNE LÄN</t>
        </is>
      </c>
      <c r="E4592" t="inlineStr">
        <is>
          <t>ÖSTRA GÖINGE</t>
        </is>
      </c>
      <c r="G4592" t="n">
        <v>4.1</v>
      </c>
      <c r="H4592" t="n">
        <v>0</v>
      </c>
      <c r="I4592" t="n">
        <v>0</v>
      </c>
      <c r="J4592" t="n">
        <v>0</v>
      </c>
      <c r="K4592" t="n">
        <v>0</v>
      </c>
      <c r="L4592" t="n">
        <v>0</v>
      </c>
      <c r="M4592" t="n">
        <v>0</v>
      </c>
      <c r="N4592" t="n">
        <v>0</v>
      </c>
      <c r="O4592" t="n">
        <v>0</v>
      </c>
      <c r="P4592" t="n">
        <v>0</v>
      </c>
      <c r="Q4592" t="n">
        <v>0</v>
      </c>
      <c r="R4592" s="2" t="inlineStr"/>
    </row>
    <row r="4593" ht="15" customHeight="1">
      <c r="A4593" t="inlineStr">
        <is>
          <t>A 29275-2023</t>
        </is>
      </c>
      <c r="B4593" s="1" t="n">
        <v>45105</v>
      </c>
      <c r="C4593" s="1" t="n">
        <v>45962</v>
      </c>
      <c r="D4593" t="inlineStr">
        <is>
          <t>SKÅNE LÄN</t>
        </is>
      </c>
      <c r="E4593" t="inlineStr">
        <is>
          <t>HÄSSLEHOLM</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29285-2023</t>
        </is>
      </c>
      <c r="B4594" s="1" t="n">
        <v>45105</v>
      </c>
      <c r="C4594" s="1" t="n">
        <v>45962</v>
      </c>
      <c r="D4594" t="inlineStr">
        <is>
          <t>SKÅNE LÄN</t>
        </is>
      </c>
      <c r="E4594" t="inlineStr">
        <is>
          <t>ÖSTRA GÖINGE</t>
        </is>
      </c>
      <c r="G4594" t="n">
        <v>3.4</v>
      </c>
      <c r="H4594" t="n">
        <v>0</v>
      </c>
      <c r="I4594" t="n">
        <v>0</v>
      </c>
      <c r="J4594" t="n">
        <v>0</v>
      </c>
      <c r="K4594" t="n">
        <v>0</v>
      </c>
      <c r="L4594" t="n">
        <v>0</v>
      </c>
      <c r="M4594" t="n">
        <v>0</v>
      </c>
      <c r="N4594" t="n">
        <v>0</v>
      </c>
      <c r="O4594" t="n">
        <v>0</v>
      </c>
      <c r="P4594" t="n">
        <v>0</v>
      </c>
      <c r="Q4594" t="n">
        <v>0</v>
      </c>
      <c r="R4594" s="2" t="inlineStr"/>
    </row>
    <row r="4595" ht="15" customHeight="1">
      <c r="A4595" t="inlineStr">
        <is>
          <t>A 24813-2025</t>
        </is>
      </c>
      <c r="B4595" s="1" t="n">
        <v>45799.44813657407</v>
      </c>
      <c r="C4595" s="1" t="n">
        <v>45962</v>
      </c>
      <c r="D4595" t="inlineStr">
        <is>
          <t>SKÅNE LÄN</t>
        </is>
      </c>
      <c r="E4595" t="inlineStr">
        <is>
          <t>KLIPPAN</t>
        </is>
      </c>
      <c r="G4595" t="n">
        <v>2.3</v>
      </c>
      <c r="H4595" t="n">
        <v>0</v>
      </c>
      <c r="I4595" t="n">
        <v>0</v>
      </c>
      <c r="J4595" t="n">
        <v>0</v>
      </c>
      <c r="K4595" t="n">
        <v>0</v>
      </c>
      <c r="L4595" t="n">
        <v>0</v>
      </c>
      <c r="M4595" t="n">
        <v>0</v>
      </c>
      <c r="N4595" t="n">
        <v>0</v>
      </c>
      <c r="O4595" t="n">
        <v>0</v>
      </c>
      <c r="P4595" t="n">
        <v>0</v>
      </c>
      <c r="Q4595" t="n">
        <v>0</v>
      </c>
      <c r="R4595" s="2" t="inlineStr"/>
    </row>
    <row r="4596" ht="15" customHeight="1">
      <c r="A4596" t="inlineStr">
        <is>
          <t>A 40470-2025</t>
        </is>
      </c>
      <c r="B4596" s="1" t="n">
        <v>45895</v>
      </c>
      <c r="C4596" s="1" t="n">
        <v>45962</v>
      </c>
      <c r="D4596" t="inlineStr">
        <is>
          <t>SKÅNE LÄN</t>
        </is>
      </c>
      <c r="E4596" t="inlineStr">
        <is>
          <t>SVALÖV</t>
        </is>
      </c>
      <c r="G4596" t="n">
        <v>0.1</v>
      </c>
      <c r="H4596" t="n">
        <v>0</v>
      </c>
      <c r="I4596" t="n">
        <v>0</v>
      </c>
      <c r="J4596" t="n">
        <v>0</v>
      </c>
      <c r="K4596" t="n">
        <v>0</v>
      </c>
      <c r="L4596" t="n">
        <v>0</v>
      </c>
      <c r="M4596" t="n">
        <v>0</v>
      </c>
      <c r="N4596" t="n">
        <v>0</v>
      </c>
      <c r="O4596" t="n">
        <v>0</v>
      </c>
      <c r="P4596" t="n">
        <v>0</v>
      </c>
      <c r="Q4596" t="n">
        <v>0</v>
      </c>
      <c r="R4596" s="2" t="inlineStr"/>
    </row>
    <row r="4597" ht="15" customHeight="1">
      <c r="A4597" t="inlineStr">
        <is>
          <t>A 16862-2025</t>
        </is>
      </c>
      <c r="B4597" s="1" t="n">
        <v>45751</v>
      </c>
      <c r="C4597" s="1" t="n">
        <v>45962</v>
      </c>
      <c r="D4597" t="inlineStr">
        <is>
          <t>SKÅNE LÄN</t>
        </is>
      </c>
      <c r="E4597" t="inlineStr">
        <is>
          <t>HÄSSLEHOLM</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15984-2025</t>
        </is>
      </c>
      <c r="B4598" s="1" t="n">
        <v>45749</v>
      </c>
      <c r="C4598" s="1" t="n">
        <v>45962</v>
      </c>
      <c r="D4598" t="inlineStr">
        <is>
          <t>SKÅNE LÄN</t>
        </is>
      </c>
      <c r="E4598" t="inlineStr">
        <is>
          <t>LUND</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23299-2024</t>
        </is>
      </c>
      <c r="B4599" s="1" t="n">
        <v>45453.43618055555</v>
      </c>
      <c r="C4599" s="1" t="n">
        <v>45962</v>
      </c>
      <c r="D4599" t="inlineStr">
        <is>
          <t>SKÅNE LÄN</t>
        </is>
      </c>
      <c r="E4599" t="inlineStr">
        <is>
          <t>OSBY</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18109-2025</t>
        </is>
      </c>
      <c r="B4600" s="1" t="n">
        <v>45761</v>
      </c>
      <c r="C4600" s="1" t="n">
        <v>45962</v>
      </c>
      <c r="D4600" t="inlineStr">
        <is>
          <t>SKÅNE LÄN</t>
        </is>
      </c>
      <c r="E4600" t="inlineStr">
        <is>
          <t>HÄSSLEHOLM</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45516-2025</t>
        </is>
      </c>
      <c r="B4601" s="1" t="n">
        <v>45922</v>
      </c>
      <c r="C4601" s="1" t="n">
        <v>45962</v>
      </c>
      <c r="D4601" t="inlineStr">
        <is>
          <t>SKÅNE LÄN</t>
        </is>
      </c>
      <c r="E4601" t="inlineStr">
        <is>
          <t>HÄSSLEHOLM</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119-2023</t>
        </is>
      </c>
      <c r="B4602" s="1" t="n">
        <v>44928</v>
      </c>
      <c r="C4602" s="1" t="n">
        <v>45962</v>
      </c>
      <c r="D4602" t="inlineStr">
        <is>
          <t>SKÅNE LÄN</t>
        </is>
      </c>
      <c r="E4602" t="inlineStr">
        <is>
          <t>HÖRBY</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3604-2024</t>
        </is>
      </c>
      <c r="B4603" s="1" t="n">
        <v>45320</v>
      </c>
      <c r="C4603" s="1" t="n">
        <v>45962</v>
      </c>
      <c r="D4603" t="inlineStr">
        <is>
          <t>SKÅNE LÄN</t>
        </is>
      </c>
      <c r="E4603" t="inlineStr">
        <is>
          <t>SIMRISHAMN</t>
        </is>
      </c>
      <c r="G4603" t="n">
        <v>4.1</v>
      </c>
      <c r="H4603" t="n">
        <v>0</v>
      </c>
      <c r="I4603" t="n">
        <v>0</v>
      </c>
      <c r="J4603" t="n">
        <v>0</v>
      </c>
      <c r="K4603" t="n">
        <v>0</v>
      </c>
      <c r="L4603" t="n">
        <v>0</v>
      </c>
      <c r="M4603" t="n">
        <v>0</v>
      </c>
      <c r="N4603" t="n">
        <v>0</v>
      </c>
      <c r="O4603" t="n">
        <v>0</v>
      </c>
      <c r="P4603" t="n">
        <v>0</v>
      </c>
      <c r="Q4603" t="n">
        <v>0</v>
      </c>
      <c r="R4603" s="2" t="inlineStr"/>
    </row>
    <row r="4604" ht="15" customHeight="1">
      <c r="A4604" t="inlineStr">
        <is>
          <t>A 50715-2024</t>
        </is>
      </c>
      <c r="B4604" s="1" t="n">
        <v>45602</v>
      </c>
      <c r="C4604" s="1" t="n">
        <v>45962</v>
      </c>
      <c r="D4604" t="inlineStr">
        <is>
          <t>SKÅNE LÄN</t>
        </is>
      </c>
      <c r="E4604" t="inlineStr">
        <is>
          <t>HÖRBY</t>
        </is>
      </c>
      <c r="G4604" t="n">
        <v>0.4</v>
      </c>
      <c r="H4604" t="n">
        <v>0</v>
      </c>
      <c r="I4604" t="n">
        <v>0</v>
      </c>
      <c r="J4604" t="n">
        <v>0</v>
      </c>
      <c r="K4604" t="n">
        <v>0</v>
      </c>
      <c r="L4604" t="n">
        <v>0</v>
      </c>
      <c r="M4604" t="n">
        <v>0</v>
      </c>
      <c r="N4604" t="n">
        <v>0</v>
      </c>
      <c r="O4604" t="n">
        <v>0</v>
      </c>
      <c r="P4604" t="n">
        <v>0</v>
      </c>
      <c r="Q4604" t="n">
        <v>0</v>
      </c>
      <c r="R4604" s="2" t="inlineStr"/>
    </row>
    <row r="4605" ht="15" customHeight="1">
      <c r="A4605" t="inlineStr">
        <is>
          <t>A 27007-2024</t>
        </is>
      </c>
      <c r="B4605" s="1" t="n">
        <v>45471.39863425926</v>
      </c>
      <c r="C4605" s="1" t="n">
        <v>45962</v>
      </c>
      <c r="D4605" t="inlineStr">
        <is>
          <t>SKÅNE LÄN</t>
        </is>
      </c>
      <c r="E4605" t="inlineStr">
        <is>
          <t>OSBY</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13018-2024</t>
        </is>
      </c>
      <c r="B4606" s="1" t="n">
        <v>45385.58274305556</v>
      </c>
      <c r="C4606" s="1" t="n">
        <v>45962</v>
      </c>
      <c r="D4606" t="inlineStr">
        <is>
          <t>SKÅNE LÄN</t>
        </is>
      </c>
      <c r="E4606" t="inlineStr">
        <is>
          <t>HÄSSLEHOLM</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44567-2025</t>
        </is>
      </c>
      <c r="B4607" s="1" t="n">
        <v>45917</v>
      </c>
      <c r="C4607" s="1" t="n">
        <v>45962</v>
      </c>
      <c r="D4607" t="inlineStr">
        <is>
          <t>SKÅNE LÄN</t>
        </is>
      </c>
      <c r="E4607" t="inlineStr">
        <is>
          <t>KLIPPAN</t>
        </is>
      </c>
      <c r="G4607" t="n">
        <v>17.3</v>
      </c>
      <c r="H4607" t="n">
        <v>0</v>
      </c>
      <c r="I4607" t="n">
        <v>0</v>
      </c>
      <c r="J4607" t="n">
        <v>0</v>
      </c>
      <c r="K4607" t="n">
        <v>0</v>
      </c>
      <c r="L4607" t="n">
        <v>0</v>
      </c>
      <c r="M4607" t="n">
        <v>0</v>
      </c>
      <c r="N4607" t="n">
        <v>0</v>
      </c>
      <c r="O4607" t="n">
        <v>0</v>
      </c>
      <c r="P4607" t="n">
        <v>0</v>
      </c>
      <c r="Q4607" t="n">
        <v>0</v>
      </c>
      <c r="R4607" s="2" t="inlineStr"/>
    </row>
    <row r="4608" ht="15" customHeight="1">
      <c r="A4608" t="inlineStr">
        <is>
          <t>A 7055-2024</t>
        </is>
      </c>
      <c r="B4608" s="1" t="n">
        <v>45343</v>
      </c>
      <c r="C4608" s="1" t="n">
        <v>45962</v>
      </c>
      <c r="D4608" t="inlineStr">
        <is>
          <t>SKÅNE LÄN</t>
        </is>
      </c>
      <c r="E4608" t="inlineStr">
        <is>
          <t>KRISTIANSTAD</t>
        </is>
      </c>
      <c r="F4608" t="inlineStr">
        <is>
          <t>Sveaskog</t>
        </is>
      </c>
      <c r="G4608" t="n">
        <v>2.2</v>
      </c>
      <c r="H4608" t="n">
        <v>0</v>
      </c>
      <c r="I4608" t="n">
        <v>0</v>
      </c>
      <c r="J4608" t="n">
        <v>0</v>
      </c>
      <c r="K4608" t="n">
        <v>0</v>
      </c>
      <c r="L4608" t="n">
        <v>0</v>
      </c>
      <c r="M4608" t="n">
        <v>0</v>
      </c>
      <c r="N4608" t="n">
        <v>0</v>
      </c>
      <c r="O4608" t="n">
        <v>0</v>
      </c>
      <c r="P4608" t="n">
        <v>0</v>
      </c>
      <c r="Q4608" t="n">
        <v>0</v>
      </c>
      <c r="R4608" s="2" t="inlineStr"/>
    </row>
    <row r="4609" ht="15" customHeight="1">
      <c r="A4609" t="inlineStr">
        <is>
          <t>A 17693-2024</t>
        </is>
      </c>
      <c r="B4609" s="1" t="n">
        <v>45418</v>
      </c>
      <c r="C4609" s="1" t="n">
        <v>45962</v>
      </c>
      <c r="D4609" t="inlineStr">
        <is>
          <t>SKÅNE LÄN</t>
        </is>
      </c>
      <c r="E4609" t="inlineStr">
        <is>
          <t>KRISTIANSTAD</t>
        </is>
      </c>
      <c r="F4609" t="inlineStr">
        <is>
          <t>Övriga Aktiebolag</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15577-2024</t>
        </is>
      </c>
      <c r="B4610" s="1" t="n">
        <v>45401.68829861111</v>
      </c>
      <c r="C4610" s="1" t="n">
        <v>45962</v>
      </c>
      <c r="D4610" t="inlineStr">
        <is>
          <t>SKÅNE LÄN</t>
        </is>
      </c>
      <c r="E4610" t="inlineStr">
        <is>
          <t>SVEDALA</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48279-2021</t>
        </is>
      </c>
      <c r="B4611" s="1" t="n">
        <v>44449</v>
      </c>
      <c r="C4611" s="1" t="n">
        <v>45962</v>
      </c>
      <c r="D4611" t="inlineStr">
        <is>
          <t>SKÅNE LÄN</t>
        </is>
      </c>
      <c r="E4611" t="inlineStr">
        <is>
          <t>SVALÖV</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6648-2021</t>
        </is>
      </c>
      <c r="B4612" s="1" t="n">
        <v>44235</v>
      </c>
      <c r="C4612" s="1" t="n">
        <v>45962</v>
      </c>
      <c r="D4612" t="inlineStr">
        <is>
          <t>SKÅNE LÄN</t>
        </is>
      </c>
      <c r="E4612" t="inlineStr">
        <is>
          <t>HÖÖR</t>
        </is>
      </c>
      <c r="F4612" t="inlineStr">
        <is>
          <t>Övriga statliga verk och myndigheter</t>
        </is>
      </c>
      <c r="G4612" t="n">
        <v>3.1</v>
      </c>
      <c r="H4612" t="n">
        <v>0</v>
      </c>
      <c r="I4612" t="n">
        <v>0</v>
      </c>
      <c r="J4612" t="n">
        <v>0</v>
      </c>
      <c r="K4612" t="n">
        <v>0</v>
      </c>
      <c r="L4612" t="n">
        <v>0</v>
      </c>
      <c r="M4612" t="n">
        <v>0</v>
      </c>
      <c r="N4612" t="n">
        <v>0</v>
      </c>
      <c r="O4612" t="n">
        <v>0</v>
      </c>
      <c r="P4612" t="n">
        <v>0</v>
      </c>
      <c r="Q4612" t="n">
        <v>0</v>
      </c>
      <c r="R4612" s="2" t="inlineStr"/>
    </row>
    <row r="4613" ht="15" customHeight="1">
      <c r="A4613" t="inlineStr">
        <is>
          <t>A 45458-2025</t>
        </is>
      </c>
      <c r="B4613" s="1" t="n">
        <v>45920</v>
      </c>
      <c r="C4613" s="1" t="n">
        <v>45962</v>
      </c>
      <c r="D4613" t="inlineStr">
        <is>
          <t>SKÅNE LÄN</t>
        </is>
      </c>
      <c r="E4613" t="inlineStr">
        <is>
          <t>HÄSSLEHOLM</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46182-2024</t>
        </is>
      </c>
      <c r="B4614" s="1" t="n">
        <v>45581.49773148148</v>
      </c>
      <c r="C4614" s="1" t="n">
        <v>45962</v>
      </c>
      <c r="D4614" t="inlineStr">
        <is>
          <t>SKÅNE LÄN</t>
        </is>
      </c>
      <c r="E4614" t="inlineStr">
        <is>
          <t>KRISTIANSTAD</t>
        </is>
      </c>
      <c r="F4614" t="inlineStr">
        <is>
          <t>Övriga Aktiebolag</t>
        </is>
      </c>
      <c r="G4614" t="n">
        <v>1.3</v>
      </c>
      <c r="H4614" t="n">
        <v>0</v>
      </c>
      <c r="I4614" t="n">
        <v>0</v>
      </c>
      <c r="J4614" t="n">
        <v>0</v>
      </c>
      <c r="K4614" t="n">
        <v>0</v>
      </c>
      <c r="L4614" t="n">
        <v>0</v>
      </c>
      <c r="M4614" t="n">
        <v>0</v>
      </c>
      <c r="N4614" t="n">
        <v>0</v>
      </c>
      <c r="O4614" t="n">
        <v>0</v>
      </c>
      <c r="P4614" t="n">
        <v>0</v>
      </c>
      <c r="Q4614" t="n">
        <v>0</v>
      </c>
      <c r="R4614" s="2" t="inlineStr"/>
    </row>
    <row r="4615" ht="15" customHeight="1">
      <c r="A4615" t="inlineStr">
        <is>
          <t>A 11631-2024</t>
        </is>
      </c>
      <c r="B4615" s="1" t="n">
        <v>45373.46407407407</v>
      </c>
      <c r="C4615" s="1" t="n">
        <v>45962</v>
      </c>
      <c r="D4615" t="inlineStr">
        <is>
          <t>SKÅNE LÄN</t>
        </is>
      </c>
      <c r="E4615" t="inlineStr">
        <is>
          <t>ÖSTRA GÖINGE</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45465-2025</t>
        </is>
      </c>
      <c r="B4616" s="1" t="n">
        <v>45920</v>
      </c>
      <c r="C4616" s="1" t="n">
        <v>45962</v>
      </c>
      <c r="D4616" t="inlineStr">
        <is>
          <t>SKÅNE LÄN</t>
        </is>
      </c>
      <c r="E4616" t="inlineStr">
        <is>
          <t>HÄSSLEHOLM</t>
        </is>
      </c>
      <c r="G4616" t="n">
        <v>0.8</v>
      </c>
      <c r="H4616" t="n">
        <v>0</v>
      </c>
      <c r="I4616" t="n">
        <v>0</v>
      </c>
      <c r="J4616" t="n">
        <v>0</v>
      </c>
      <c r="K4616" t="n">
        <v>0</v>
      </c>
      <c r="L4616" t="n">
        <v>0</v>
      </c>
      <c r="M4616" t="n">
        <v>0</v>
      </c>
      <c r="N4616" t="n">
        <v>0</v>
      </c>
      <c r="O4616" t="n">
        <v>0</v>
      </c>
      <c r="P4616" t="n">
        <v>0</v>
      </c>
      <c r="Q4616" t="n">
        <v>0</v>
      </c>
      <c r="R4616" s="2" t="inlineStr"/>
    </row>
    <row r="4617" ht="15" customHeight="1">
      <c r="A4617" t="inlineStr">
        <is>
          <t>A 39810-2025</t>
        </is>
      </c>
      <c r="B4617" s="1" t="n">
        <v>45891.5194675926</v>
      </c>
      <c r="C4617" s="1" t="n">
        <v>45962</v>
      </c>
      <c r="D4617" t="inlineStr">
        <is>
          <t>SKÅNE LÄN</t>
        </is>
      </c>
      <c r="E4617" t="inlineStr">
        <is>
          <t>ÄNGELHOLM</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45495-2025</t>
        </is>
      </c>
      <c r="B4618" s="1" t="n">
        <v>45922.56369212963</v>
      </c>
      <c r="C4618" s="1" t="n">
        <v>45962</v>
      </c>
      <c r="D4618" t="inlineStr">
        <is>
          <t>SKÅNE LÄN</t>
        </is>
      </c>
      <c r="E4618" t="inlineStr">
        <is>
          <t>HÄSSLEHOLM</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45514-2025</t>
        </is>
      </c>
      <c r="B4619" s="1" t="n">
        <v>45922</v>
      </c>
      <c r="C4619" s="1" t="n">
        <v>45962</v>
      </c>
      <c r="D4619" t="inlineStr">
        <is>
          <t>SKÅNE LÄN</t>
        </is>
      </c>
      <c r="E4619" t="inlineStr">
        <is>
          <t>HÄSSLEHOLM</t>
        </is>
      </c>
      <c r="G4619" t="n">
        <v>0.8</v>
      </c>
      <c r="H4619" t="n">
        <v>0</v>
      </c>
      <c r="I4619" t="n">
        <v>0</v>
      </c>
      <c r="J4619" t="n">
        <v>0</v>
      </c>
      <c r="K4619" t="n">
        <v>0</v>
      </c>
      <c r="L4619" t="n">
        <v>0</v>
      </c>
      <c r="M4619" t="n">
        <v>0</v>
      </c>
      <c r="N4619" t="n">
        <v>0</v>
      </c>
      <c r="O4619" t="n">
        <v>0</v>
      </c>
      <c r="P4619" t="n">
        <v>0</v>
      </c>
      <c r="Q4619" t="n">
        <v>0</v>
      </c>
      <c r="R4619" s="2" t="inlineStr"/>
    </row>
    <row r="4620" ht="15" customHeight="1">
      <c r="A4620" t="inlineStr">
        <is>
          <t>A 37778-2025</t>
        </is>
      </c>
      <c r="B4620" s="1" t="n">
        <v>45880</v>
      </c>
      <c r="C4620" s="1" t="n">
        <v>45962</v>
      </c>
      <c r="D4620" t="inlineStr">
        <is>
          <t>SKÅNE LÄN</t>
        </is>
      </c>
      <c r="E4620" t="inlineStr">
        <is>
          <t>ÖRKELLJUNGA</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21774-2024</t>
        </is>
      </c>
      <c r="B4621" s="1" t="n">
        <v>45442</v>
      </c>
      <c r="C4621" s="1" t="n">
        <v>45962</v>
      </c>
      <c r="D4621" t="inlineStr">
        <is>
          <t>SKÅNE LÄN</t>
        </is>
      </c>
      <c r="E4621" t="inlineStr">
        <is>
          <t>SVALÖV</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22595-2024</t>
        </is>
      </c>
      <c r="B4622" s="1" t="n">
        <v>45447.61053240741</v>
      </c>
      <c r="C4622" s="1" t="n">
        <v>45962</v>
      </c>
      <c r="D4622" t="inlineStr">
        <is>
          <t>SKÅNE LÄN</t>
        </is>
      </c>
      <c r="E4622" t="inlineStr">
        <is>
          <t>HÄSSLEHOLM</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47665-2025</t>
        </is>
      </c>
      <c r="B4623" s="1" t="n">
        <v>45931.56511574074</v>
      </c>
      <c r="C4623" s="1" t="n">
        <v>45962</v>
      </c>
      <c r="D4623" t="inlineStr">
        <is>
          <t>SKÅNE LÄN</t>
        </is>
      </c>
      <c r="E4623" t="inlineStr">
        <is>
          <t>KRISTIANSTAD</t>
        </is>
      </c>
      <c r="F4623" t="inlineStr">
        <is>
          <t>Övriga Aktiebolag</t>
        </is>
      </c>
      <c r="G4623" t="n">
        <v>0.9</v>
      </c>
      <c r="H4623" t="n">
        <v>0</v>
      </c>
      <c r="I4623" t="n">
        <v>0</v>
      </c>
      <c r="J4623" t="n">
        <v>0</v>
      </c>
      <c r="K4623" t="n">
        <v>0</v>
      </c>
      <c r="L4623" t="n">
        <v>0</v>
      </c>
      <c r="M4623" t="n">
        <v>0</v>
      </c>
      <c r="N4623" t="n">
        <v>0</v>
      </c>
      <c r="O4623" t="n">
        <v>0</v>
      </c>
      <c r="P4623" t="n">
        <v>0</v>
      </c>
      <c r="Q4623" t="n">
        <v>0</v>
      </c>
      <c r="R4623" s="2" t="inlineStr"/>
    </row>
    <row r="4624" ht="15" customHeight="1">
      <c r="A4624" t="inlineStr">
        <is>
          <t>A 46835-2023</t>
        </is>
      </c>
      <c r="B4624" s="1" t="n">
        <v>45199</v>
      </c>
      <c r="C4624" s="1" t="n">
        <v>45962</v>
      </c>
      <c r="D4624" t="inlineStr">
        <is>
          <t>SKÅNE LÄN</t>
        </is>
      </c>
      <c r="E4624" t="inlineStr">
        <is>
          <t>KLIPPAN</t>
        </is>
      </c>
      <c r="G4624" t="n">
        <v>0.5</v>
      </c>
      <c r="H4624" t="n">
        <v>0</v>
      </c>
      <c r="I4624" t="n">
        <v>0</v>
      </c>
      <c r="J4624" t="n">
        <v>0</v>
      </c>
      <c r="K4624" t="n">
        <v>0</v>
      </c>
      <c r="L4624" t="n">
        <v>0</v>
      </c>
      <c r="M4624" t="n">
        <v>0</v>
      </c>
      <c r="N4624" t="n">
        <v>0</v>
      </c>
      <c r="O4624" t="n">
        <v>0</v>
      </c>
      <c r="P4624" t="n">
        <v>0</v>
      </c>
      <c r="Q4624" t="n">
        <v>0</v>
      </c>
      <c r="R4624" s="2" t="inlineStr"/>
    </row>
    <row r="4625" ht="15" customHeight="1">
      <c r="A4625" t="inlineStr">
        <is>
          <t>A 45314-2025</t>
        </is>
      </c>
      <c r="B4625" s="1" t="n">
        <v>45921.81738425926</v>
      </c>
      <c r="C4625" s="1" t="n">
        <v>45962</v>
      </c>
      <c r="D4625" t="inlineStr">
        <is>
          <t>SKÅNE LÄN</t>
        </is>
      </c>
      <c r="E4625" t="inlineStr">
        <is>
          <t>HÄSSLEHOLM</t>
        </is>
      </c>
      <c r="G4625" t="n">
        <v>2.4</v>
      </c>
      <c r="H4625" t="n">
        <v>0</v>
      </c>
      <c r="I4625" t="n">
        <v>0</v>
      </c>
      <c r="J4625" t="n">
        <v>0</v>
      </c>
      <c r="K4625" t="n">
        <v>0</v>
      </c>
      <c r="L4625" t="n">
        <v>0</v>
      </c>
      <c r="M4625" t="n">
        <v>0</v>
      </c>
      <c r="N4625" t="n">
        <v>0</v>
      </c>
      <c r="O4625" t="n">
        <v>0</v>
      </c>
      <c r="P4625" t="n">
        <v>0</v>
      </c>
      <c r="Q4625" t="n">
        <v>0</v>
      </c>
      <c r="R4625" s="2" t="inlineStr"/>
    </row>
    <row r="4626" ht="15" customHeight="1">
      <c r="A4626" t="inlineStr">
        <is>
          <t>A 55676-2022</t>
        </is>
      </c>
      <c r="B4626" s="1" t="n">
        <v>44888</v>
      </c>
      <c r="C4626" s="1" t="n">
        <v>45962</v>
      </c>
      <c r="D4626" t="inlineStr">
        <is>
          <t>SKÅNE LÄN</t>
        </is>
      </c>
      <c r="E4626" t="inlineStr">
        <is>
          <t>TOMELILLA</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50738-2023</t>
        </is>
      </c>
      <c r="B4627" s="1" t="n">
        <v>45217</v>
      </c>
      <c r="C4627" s="1" t="n">
        <v>45962</v>
      </c>
      <c r="D4627" t="inlineStr">
        <is>
          <t>SKÅNE LÄN</t>
        </is>
      </c>
      <c r="E4627" t="inlineStr">
        <is>
          <t>OSBY</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50741-2023</t>
        </is>
      </c>
      <c r="B4628" s="1" t="n">
        <v>45217</v>
      </c>
      <c r="C4628" s="1" t="n">
        <v>45962</v>
      </c>
      <c r="D4628" t="inlineStr">
        <is>
          <t>SKÅNE LÄN</t>
        </is>
      </c>
      <c r="E4628" t="inlineStr">
        <is>
          <t>OSBY</t>
        </is>
      </c>
      <c r="G4628" t="n">
        <v>3.2</v>
      </c>
      <c r="H4628" t="n">
        <v>0</v>
      </c>
      <c r="I4628" t="n">
        <v>0</v>
      </c>
      <c r="J4628" t="n">
        <v>0</v>
      </c>
      <c r="K4628" t="n">
        <v>0</v>
      </c>
      <c r="L4628" t="n">
        <v>0</v>
      </c>
      <c r="M4628" t="n">
        <v>0</v>
      </c>
      <c r="N4628" t="n">
        <v>0</v>
      </c>
      <c r="O4628" t="n">
        <v>0</v>
      </c>
      <c r="P4628" t="n">
        <v>0</v>
      </c>
      <c r="Q4628" t="n">
        <v>0</v>
      </c>
      <c r="R4628" s="2" t="inlineStr"/>
    </row>
    <row r="4629" ht="15" customHeight="1">
      <c r="A4629" t="inlineStr">
        <is>
          <t>A 50798-2023</t>
        </is>
      </c>
      <c r="B4629" s="1" t="n">
        <v>45217</v>
      </c>
      <c r="C4629" s="1" t="n">
        <v>45962</v>
      </c>
      <c r="D4629" t="inlineStr">
        <is>
          <t>SKÅNE LÄN</t>
        </is>
      </c>
      <c r="E4629" t="inlineStr">
        <is>
          <t>SJÖBO</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12833-2023</t>
        </is>
      </c>
      <c r="B4630" s="1" t="n">
        <v>45001</v>
      </c>
      <c r="C4630" s="1" t="n">
        <v>45962</v>
      </c>
      <c r="D4630" t="inlineStr">
        <is>
          <t>SKÅNE LÄN</t>
        </is>
      </c>
      <c r="E4630" t="inlineStr">
        <is>
          <t>HÖÖR</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38028-2025</t>
        </is>
      </c>
      <c r="B4631" s="1" t="n">
        <v>45882.3615625</v>
      </c>
      <c r="C4631" s="1" t="n">
        <v>45962</v>
      </c>
      <c r="D4631" t="inlineStr">
        <is>
          <t>SKÅNE LÄN</t>
        </is>
      </c>
      <c r="E4631" t="inlineStr">
        <is>
          <t>ÄNGELHOLM</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60704-2023</t>
        </is>
      </c>
      <c r="B4632" s="1" t="n">
        <v>45260.51340277777</v>
      </c>
      <c r="C4632" s="1" t="n">
        <v>45962</v>
      </c>
      <c r="D4632" t="inlineStr">
        <is>
          <t>SKÅNE LÄN</t>
        </is>
      </c>
      <c r="E4632" t="inlineStr">
        <is>
          <t>HÄSSLEHOLM</t>
        </is>
      </c>
      <c r="G4632" t="n">
        <v>2.1</v>
      </c>
      <c r="H4632" t="n">
        <v>0</v>
      </c>
      <c r="I4632" t="n">
        <v>0</v>
      </c>
      <c r="J4632" t="n">
        <v>0</v>
      </c>
      <c r="K4632" t="n">
        <v>0</v>
      </c>
      <c r="L4632" t="n">
        <v>0</v>
      </c>
      <c r="M4632" t="n">
        <v>0</v>
      </c>
      <c r="N4632" t="n">
        <v>0</v>
      </c>
      <c r="O4632" t="n">
        <v>0</v>
      </c>
      <c r="P4632" t="n">
        <v>0</v>
      </c>
      <c r="Q4632" t="n">
        <v>0</v>
      </c>
      <c r="R4632" s="2" t="inlineStr"/>
    </row>
    <row r="4633" ht="15" customHeight="1">
      <c r="A4633" t="inlineStr">
        <is>
          <t>A 46200-2022</t>
        </is>
      </c>
      <c r="B4633" s="1" t="n">
        <v>44845</v>
      </c>
      <c r="C4633" s="1" t="n">
        <v>45962</v>
      </c>
      <c r="D4633" t="inlineStr">
        <is>
          <t>SKÅNE LÄN</t>
        </is>
      </c>
      <c r="E4633" t="inlineStr">
        <is>
          <t>PERSTORP</t>
        </is>
      </c>
      <c r="G4633" t="n">
        <v>0.7</v>
      </c>
      <c r="H4633" t="n">
        <v>0</v>
      </c>
      <c r="I4633" t="n">
        <v>0</v>
      </c>
      <c r="J4633" t="n">
        <v>0</v>
      </c>
      <c r="K4633" t="n">
        <v>0</v>
      </c>
      <c r="L4633" t="n">
        <v>0</v>
      </c>
      <c r="M4633" t="n">
        <v>0</v>
      </c>
      <c r="N4633" t="n">
        <v>0</v>
      </c>
      <c r="O4633" t="n">
        <v>0</v>
      </c>
      <c r="P4633" t="n">
        <v>0</v>
      </c>
      <c r="Q4633" t="n">
        <v>0</v>
      </c>
      <c r="R4633" s="2" t="inlineStr"/>
    </row>
    <row r="4634" ht="15" customHeight="1">
      <c r="A4634" t="inlineStr">
        <is>
          <t>A 48717-2025</t>
        </is>
      </c>
      <c r="B4634" s="1" t="n">
        <v>45935</v>
      </c>
      <c r="C4634" s="1" t="n">
        <v>45962</v>
      </c>
      <c r="D4634" t="inlineStr">
        <is>
          <t>SKÅNE LÄN</t>
        </is>
      </c>
      <c r="E4634" t="inlineStr">
        <is>
          <t>ÖSTRA GÖINGE</t>
        </is>
      </c>
      <c r="G4634" t="n">
        <v>2.9</v>
      </c>
      <c r="H4634" t="n">
        <v>0</v>
      </c>
      <c r="I4634" t="n">
        <v>0</v>
      </c>
      <c r="J4634" t="n">
        <v>0</v>
      </c>
      <c r="K4634" t="n">
        <v>0</v>
      </c>
      <c r="L4634" t="n">
        <v>0</v>
      </c>
      <c r="M4634" t="n">
        <v>0</v>
      </c>
      <c r="N4634" t="n">
        <v>0</v>
      </c>
      <c r="O4634" t="n">
        <v>0</v>
      </c>
      <c r="P4634" t="n">
        <v>0</v>
      </c>
      <c r="Q4634" t="n">
        <v>0</v>
      </c>
      <c r="R4634" s="2" t="inlineStr"/>
    </row>
    <row r="4635" ht="15" customHeight="1">
      <c r="A4635" t="inlineStr">
        <is>
          <t>A 47232-2024</t>
        </is>
      </c>
      <c r="B4635" s="1" t="n">
        <v>45586</v>
      </c>
      <c r="C4635" s="1" t="n">
        <v>45962</v>
      </c>
      <c r="D4635" t="inlineStr">
        <is>
          <t>SKÅNE LÄN</t>
        </is>
      </c>
      <c r="E4635" t="inlineStr">
        <is>
          <t>KRISTIANSTAD</t>
        </is>
      </c>
      <c r="F4635" t="inlineStr">
        <is>
          <t>Övriga Aktiebolag</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27322-2022</t>
        </is>
      </c>
      <c r="B4636" s="1" t="n">
        <v>44742</v>
      </c>
      <c r="C4636" s="1" t="n">
        <v>45962</v>
      </c>
      <c r="D4636" t="inlineStr">
        <is>
          <t>SKÅNE LÄN</t>
        </is>
      </c>
      <c r="E4636" t="inlineStr">
        <is>
          <t>ÖSTRA GÖINGE</t>
        </is>
      </c>
      <c r="G4636" t="n">
        <v>4.6</v>
      </c>
      <c r="H4636" t="n">
        <v>0</v>
      </c>
      <c r="I4636" t="n">
        <v>0</v>
      </c>
      <c r="J4636" t="n">
        <v>0</v>
      </c>
      <c r="K4636" t="n">
        <v>0</v>
      </c>
      <c r="L4636" t="n">
        <v>0</v>
      </c>
      <c r="M4636" t="n">
        <v>0</v>
      </c>
      <c r="N4636" t="n">
        <v>0</v>
      </c>
      <c r="O4636" t="n">
        <v>0</v>
      </c>
      <c r="P4636" t="n">
        <v>0</v>
      </c>
      <c r="Q4636" t="n">
        <v>0</v>
      </c>
      <c r="R4636" s="2" t="inlineStr"/>
    </row>
    <row r="4637" ht="15" customHeight="1">
      <c r="A4637" t="inlineStr">
        <is>
          <t>A 45777-2025</t>
        </is>
      </c>
      <c r="B4637" s="1" t="n">
        <v>45923.54709490741</v>
      </c>
      <c r="C4637" s="1" t="n">
        <v>45962</v>
      </c>
      <c r="D4637" t="inlineStr">
        <is>
          <t>SKÅNE LÄN</t>
        </is>
      </c>
      <c r="E4637" t="inlineStr">
        <is>
          <t>ÖSTRA GÖINGE</t>
        </is>
      </c>
      <c r="G4637" t="n">
        <v>2.8</v>
      </c>
      <c r="H4637" t="n">
        <v>0</v>
      </c>
      <c r="I4637" t="n">
        <v>0</v>
      </c>
      <c r="J4637" t="n">
        <v>0</v>
      </c>
      <c r="K4637" t="n">
        <v>0</v>
      </c>
      <c r="L4637" t="n">
        <v>0</v>
      </c>
      <c r="M4637" t="n">
        <v>0</v>
      </c>
      <c r="N4637" t="n">
        <v>0</v>
      </c>
      <c r="O4637" t="n">
        <v>0</v>
      </c>
      <c r="P4637" t="n">
        <v>0</v>
      </c>
      <c r="Q4637" t="n">
        <v>0</v>
      </c>
      <c r="R4637" s="2" t="inlineStr"/>
    </row>
    <row r="4638" ht="15" customHeight="1">
      <c r="A4638" t="inlineStr">
        <is>
          <t>A 10941-2024</t>
        </is>
      </c>
      <c r="B4638" s="1" t="n">
        <v>45370</v>
      </c>
      <c r="C4638" s="1" t="n">
        <v>45962</v>
      </c>
      <c r="D4638" t="inlineStr">
        <is>
          <t>SKÅNE LÄN</t>
        </is>
      </c>
      <c r="E4638" t="inlineStr">
        <is>
          <t>PERSTORP</t>
        </is>
      </c>
      <c r="F4638" t="inlineStr">
        <is>
          <t>Övriga Aktiebolag</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37724-2022</t>
        </is>
      </c>
      <c r="B4639" s="1" t="n">
        <v>44810</v>
      </c>
      <c r="C4639" s="1" t="n">
        <v>45962</v>
      </c>
      <c r="D4639" t="inlineStr">
        <is>
          <t>SKÅNE LÄN</t>
        </is>
      </c>
      <c r="E4639" t="inlineStr">
        <is>
          <t>HÖRBY</t>
        </is>
      </c>
      <c r="G4639" t="n">
        <v>1.2</v>
      </c>
      <c r="H4639" t="n">
        <v>0</v>
      </c>
      <c r="I4639" t="n">
        <v>0</v>
      </c>
      <c r="J4639" t="n">
        <v>0</v>
      </c>
      <c r="K4639" t="n">
        <v>0</v>
      </c>
      <c r="L4639" t="n">
        <v>0</v>
      </c>
      <c r="M4639" t="n">
        <v>0</v>
      </c>
      <c r="N4639" t="n">
        <v>0</v>
      </c>
      <c r="O4639" t="n">
        <v>0</v>
      </c>
      <c r="P4639" t="n">
        <v>0</v>
      </c>
      <c r="Q4639" t="n">
        <v>0</v>
      </c>
      <c r="R4639" s="2" t="inlineStr"/>
    </row>
    <row r="4640" ht="15" customHeight="1">
      <c r="A4640" t="inlineStr">
        <is>
          <t>A 40296-2025</t>
        </is>
      </c>
      <c r="B4640" s="1" t="n">
        <v>45895</v>
      </c>
      <c r="C4640" s="1" t="n">
        <v>45962</v>
      </c>
      <c r="D4640" t="inlineStr">
        <is>
          <t>SKÅNE LÄN</t>
        </is>
      </c>
      <c r="E4640" t="inlineStr">
        <is>
          <t>KRISTIANSTAD</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48774-2025</t>
        </is>
      </c>
      <c r="B4641" s="1" t="n">
        <v>45936.98362268518</v>
      </c>
      <c r="C4641" s="1" t="n">
        <v>45962</v>
      </c>
      <c r="D4641" t="inlineStr">
        <is>
          <t>SKÅNE LÄN</t>
        </is>
      </c>
      <c r="E4641" t="inlineStr">
        <is>
          <t>OSBY</t>
        </is>
      </c>
      <c r="G4641" t="n">
        <v>3.8</v>
      </c>
      <c r="H4641" t="n">
        <v>0</v>
      </c>
      <c r="I4641" t="n">
        <v>0</v>
      </c>
      <c r="J4641" t="n">
        <v>0</v>
      </c>
      <c r="K4641" t="n">
        <v>0</v>
      </c>
      <c r="L4641" t="n">
        <v>0</v>
      </c>
      <c r="M4641" t="n">
        <v>0</v>
      </c>
      <c r="N4641" t="n">
        <v>0</v>
      </c>
      <c r="O4641" t="n">
        <v>0</v>
      </c>
      <c r="P4641" t="n">
        <v>0</v>
      </c>
      <c r="Q4641" t="n">
        <v>0</v>
      </c>
      <c r="R4641" s="2" t="inlineStr"/>
    </row>
    <row r="4642" ht="15" customHeight="1">
      <c r="A4642" t="inlineStr">
        <is>
          <t>A 48785-2025</t>
        </is>
      </c>
      <c r="B4642" s="1" t="n">
        <v>45937.31203703704</v>
      </c>
      <c r="C4642" s="1" t="n">
        <v>45962</v>
      </c>
      <c r="D4642" t="inlineStr">
        <is>
          <t>SKÅNE LÄN</t>
        </is>
      </c>
      <c r="E4642" t="inlineStr">
        <is>
          <t>OSBY</t>
        </is>
      </c>
      <c r="F4642" t="inlineStr">
        <is>
          <t>Sveaskog</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37728-2022</t>
        </is>
      </c>
      <c r="B4643" s="1" t="n">
        <v>44810.56689814815</v>
      </c>
      <c r="C4643" s="1" t="n">
        <v>45962</v>
      </c>
      <c r="D4643" t="inlineStr">
        <is>
          <t>SKÅNE LÄN</t>
        </is>
      </c>
      <c r="E4643" t="inlineStr">
        <is>
          <t>HÖRBY</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48796-2025</t>
        </is>
      </c>
      <c r="B4644" s="1" t="n">
        <v>45937.34450231482</v>
      </c>
      <c r="C4644" s="1" t="n">
        <v>45962</v>
      </c>
      <c r="D4644" t="inlineStr">
        <is>
          <t>SKÅNE LÄN</t>
        </is>
      </c>
      <c r="E4644" t="inlineStr">
        <is>
          <t>OSBY</t>
        </is>
      </c>
      <c r="F4644" t="inlineStr">
        <is>
          <t>Sveaskog</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62296-2022</t>
        </is>
      </c>
      <c r="B4645" s="1" t="n">
        <v>44923.43637731481</v>
      </c>
      <c r="C4645" s="1" t="n">
        <v>45962</v>
      </c>
      <c r="D4645" t="inlineStr">
        <is>
          <t>SKÅNE LÄN</t>
        </is>
      </c>
      <c r="E4645" t="inlineStr">
        <is>
          <t>PERSTORP</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48672-2025</t>
        </is>
      </c>
      <c r="B4646" s="1" t="n">
        <v>45936.58152777778</v>
      </c>
      <c r="C4646" s="1" t="n">
        <v>45962</v>
      </c>
      <c r="D4646" t="inlineStr">
        <is>
          <t>SKÅNE LÄN</t>
        </is>
      </c>
      <c r="E4646" t="inlineStr">
        <is>
          <t>ÖRKELLJUNGA</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62403-2022</t>
        </is>
      </c>
      <c r="B4647" s="1" t="n">
        <v>44923</v>
      </c>
      <c r="C4647" s="1" t="n">
        <v>45962</v>
      </c>
      <c r="D4647" t="inlineStr">
        <is>
          <t>SKÅNE LÄN</t>
        </is>
      </c>
      <c r="E4647" t="inlineStr">
        <is>
          <t>SVALÖV</t>
        </is>
      </c>
      <c r="G4647" t="n">
        <v>2.2</v>
      </c>
      <c r="H4647" t="n">
        <v>0</v>
      </c>
      <c r="I4647" t="n">
        <v>0</v>
      </c>
      <c r="J4647" t="n">
        <v>0</v>
      </c>
      <c r="K4647" t="n">
        <v>0</v>
      </c>
      <c r="L4647" t="n">
        <v>0</v>
      </c>
      <c r="M4647" t="n">
        <v>0</v>
      </c>
      <c r="N4647" t="n">
        <v>0</v>
      </c>
      <c r="O4647" t="n">
        <v>0</v>
      </c>
      <c r="P4647" t="n">
        <v>0</v>
      </c>
      <c r="Q4647" t="n">
        <v>0</v>
      </c>
      <c r="R4647" s="2" t="inlineStr"/>
    </row>
    <row r="4648" ht="15" customHeight="1">
      <c r="A4648" t="inlineStr">
        <is>
          <t>A 62413-2022</t>
        </is>
      </c>
      <c r="B4648" s="1" t="n">
        <v>44923</v>
      </c>
      <c r="C4648" s="1" t="n">
        <v>45962</v>
      </c>
      <c r="D4648" t="inlineStr">
        <is>
          <t>SKÅNE LÄN</t>
        </is>
      </c>
      <c r="E4648" t="inlineStr">
        <is>
          <t>SIMRISHAMN</t>
        </is>
      </c>
      <c r="G4648" t="n">
        <v>2</v>
      </c>
      <c r="H4648" t="n">
        <v>0</v>
      </c>
      <c r="I4648" t="n">
        <v>0</v>
      </c>
      <c r="J4648" t="n">
        <v>0</v>
      </c>
      <c r="K4648" t="n">
        <v>0</v>
      </c>
      <c r="L4648" t="n">
        <v>0</v>
      </c>
      <c r="M4648" t="n">
        <v>0</v>
      </c>
      <c r="N4648" t="n">
        <v>0</v>
      </c>
      <c r="O4648" t="n">
        <v>0</v>
      </c>
      <c r="P4648" t="n">
        <v>0</v>
      </c>
      <c r="Q4648" t="n">
        <v>0</v>
      </c>
      <c r="R4648" s="2" t="inlineStr"/>
    </row>
    <row r="4649" ht="15" customHeight="1">
      <c r="A4649" t="inlineStr">
        <is>
          <t>A 47592-2023</t>
        </is>
      </c>
      <c r="B4649" s="1" t="n">
        <v>45203.44675925926</v>
      </c>
      <c r="C4649" s="1" t="n">
        <v>45962</v>
      </c>
      <c r="D4649" t="inlineStr">
        <is>
          <t>SKÅNE LÄN</t>
        </is>
      </c>
      <c r="E4649" t="inlineStr">
        <is>
          <t>ÖSTRA GÖINGE</t>
        </is>
      </c>
      <c r="G4649" t="n">
        <v>0.6</v>
      </c>
      <c r="H4649" t="n">
        <v>0</v>
      </c>
      <c r="I4649" t="n">
        <v>0</v>
      </c>
      <c r="J4649" t="n">
        <v>0</v>
      </c>
      <c r="K4649" t="n">
        <v>0</v>
      </c>
      <c r="L4649" t="n">
        <v>0</v>
      </c>
      <c r="M4649" t="n">
        <v>0</v>
      </c>
      <c r="N4649" t="n">
        <v>0</v>
      </c>
      <c r="O4649" t="n">
        <v>0</v>
      </c>
      <c r="P4649" t="n">
        <v>0</v>
      </c>
      <c r="Q4649" t="n">
        <v>0</v>
      </c>
      <c r="R4649" s="2" t="inlineStr"/>
    </row>
    <row r="4650" ht="15" customHeight="1">
      <c r="A4650" t="inlineStr">
        <is>
          <t>A 47637-2023</t>
        </is>
      </c>
      <c r="B4650" s="1" t="n">
        <v>45203</v>
      </c>
      <c r="C4650" s="1" t="n">
        <v>45962</v>
      </c>
      <c r="D4650" t="inlineStr">
        <is>
          <t>SKÅNE LÄN</t>
        </is>
      </c>
      <c r="E4650" t="inlineStr">
        <is>
          <t>HÖRBY</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48217-2022</t>
        </is>
      </c>
      <c r="B4651" s="1" t="n">
        <v>44853</v>
      </c>
      <c r="C4651" s="1" t="n">
        <v>45962</v>
      </c>
      <c r="D4651" t="inlineStr">
        <is>
          <t>SKÅNE LÄN</t>
        </is>
      </c>
      <c r="E4651" t="inlineStr">
        <is>
          <t>KRISTIANSTAD</t>
        </is>
      </c>
      <c r="F4651" t="inlineStr">
        <is>
          <t>Kyrkan</t>
        </is>
      </c>
      <c r="G4651" t="n">
        <v>2.8</v>
      </c>
      <c r="H4651" t="n">
        <v>0</v>
      </c>
      <c r="I4651" t="n">
        <v>0</v>
      </c>
      <c r="J4651" t="n">
        <v>0</v>
      </c>
      <c r="K4651" t="n">
        <v>0</v>
      </c>
      <c r="L4651" t="n">
        <v>0</v>
      </c>
      <c r="M4651" t="n">
        <v>0</v>
      </c>
      <c r="N4651" t="n">
        <v>0</v>
      </c>
      <c r="O4651" t="n">
        <v>0</v>
      </c>
      <c r="P4651" t="n">
        <v>0</v>
      </c>
      <c r="Q4651" t="n">
        <v>0</v>
      </c>
      <c r="R4651" s="2" t="inlineStr"/>
    </row>
    <row r="4652" ht="15" customHeight="1">
      <c r="A4652" t="inlineStr">
        <is>
          <t>A 33305-2023</t>
        </is>
      </c>
      <c r="B4652" s="1" t="n">
        <v>45117</v>
      </c>
      <c r="C4652" s="1" t="n">
        <v>45962</v>
      </c>
      <c r="D4652" t="inlineStr">
        <is>
          <t>SKÅNE LÄN</t>
        </is>
      </c>
      <c r="E4652" t="inlineStr">
        <is>
          <t>ÖSTRA GÖINGE</t>
        </is>
      </c>
      <c r="G4652" t="n">
        <v>0.9</v>
      </c>
      <c r="H4652" t="n">
        <v>0</v>
      </c>
      <c r="I4652" t="n">
        <v>0</v>
      </c>
      <c r="J4652" t="n">
        <v>0</v>
      </c>
      <c r="K4652" t="n">
        <v>0</v>
      </c>
      <c r="L4652" t="n">
        <v>0</v>
      </c>
      <c r="M4652" t="n">
        <v>0</v>
      </c>
      <c r="N4652" t="n">
        <v>0</v>
      </c>
      <c r="O4652" t="n">
        <v>0</v>
      </c>
      <c r="P4652" t="n">
        <v>0</v>
      </c>
      <c r="Q4652" t="n">
        <v>0</v>
      </c>
      <c r="R4652" s="2" t="inlineStr"/>
    </row>
    <row r="4653" ht="15" customHeight="1">
      <c r="A4653" t="inlineStr">
        <is>
          <t>A 55489-2022</t>
        </is>
      </c>
      <c r="B4653" s="1" t="n">
        <v>44887.68068287037</v>
      </c>
      <c r="C4653" s="1" t="n">
        <v>45962</v>
      </c>
      <c r="D4653" t="inlineStr">
        <is>
          <t>SKÅNE LÄN</t>
        </is>
      </c>
      <c r="E4653" t="inlineStr">
        <is>
          <t>ÖSTRA GÖINGE</t>
        </is>
      </c>
      <c r="G4653" t="n">
        <v>0.9</v>
      </c>
      <c r="H4653" t="n">
        <v>0</v>
      </c>
      <c r="I4653" t="n">
        <v>0</v>
      </c>
      <c r="J4653" t="n">
        <v>0</v>
      </c>
      <c r="K4653" t="n">
        <v>0</v>
      </c>
      <c r="L4653" t="n">
        <v>0</v>
      </c>
      <c r="M4653" t="n">
        <v>0</v>
      </c>
      <c r="N4653" t="n">
        <v>0</v>
      </c>
      <c r="O4653" t="n">
        <v>0</v>
      </c>
      <c r="P4653" t="n">
        <v>0</v>
      </c>
      <c r="Q4653" t="n">
        <v>0</v>
      </c>
      <c r="R4653" s="2" t="inlineStr"/>
    </row>
    <row r="4654" ht="15" customHeight="1">
      <c r="A4654" t="inlineStr">
        <is>
          <t>A 48797-2025</t>
        </is>
      </c>
      <c r="B4654" s="1" t="n">
        <v>45937.34452546296</v>
      </c>
      <c r="C4654" s="1" t="n">
        <v>45962</v>
      </c>
      <c r="D4654" t="inlineStr">
        <is>
          <t>SKÅNE LÄN</t>
        </is>
      </c>
      <c r="E4654" t="inlineStr">
        <is>
          <t>OSBY</t>
        </is>
      </c>
      <c r="F4654" t="inlineStr">
        <is>
          <t>Sveaskog</t>
        </is>
      </c>
      <c r="G4654" t="n">
        <v>2.2</v>
      </c>
      <c r="H4654" t="n">
        <v>0</v>
      </c>
      <c r="I4654" t="n">
        <v>0</v>
      </c>
      <c r="J4654" t="n">
        <v>0</v>
      </c>
      <c r="K4654" t="n">
        <v>0</v>
      </c>
      <c r="L4654" t="n">
        <v>0</v>
      </c>
      <c r="M4654" t="n">
        <v>0</v>
      </c>
      <c r="N4654" t="n">
        <v>0</v>
      </c>
      <c r="O4654" t="n">
        <v>0</v>
      </c>
      <c r="P4654" t="n">
        <v>0</v>
      </c>
      <c r="Q4654" t="n">
        <v>0</v>
      </c>
      <c r="R4654" s="2" t="inlineStr"/>
    </row>
    <row r="4655" ht="15" customHeight="1">
      <c r="A4655" t="inlineStr">
        <is>
          <t>A 17856-2025</t>
        </is>
      </c>
      <c r="B4655" s="1" t="n">
        <v>45758.62086805556</v>
      </c>
      <c r="C4655" s="1" t="n">
        <v>45962</v>
      </c>
      <c r="D4655" t="inlineStr">
        <is>
          <t>SKÅNE LÄN</t>
        </is>
      </c>
      <c r="E4655" t="inlineStr">
        <is>
          <t>ÖSTRA GÖINGE</t>
        </is>
      </c>
      <c r="F4655" t="inlineStr">
        <is>
          <t>Sveaskog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38230-2025</t>
        </is>
      </c>
      <c r="B4656" s="1" t="n">
        <v>45883.34923611111</v>
      </c>
      <c r="C4656" s="1" t="n">
        <v>45962</v>
      </c>
      <c r="D4656" t="inlineStr">
        <is>
          <t>SKÅNE LÄN</t>
        </is>
      </c>
      <c r="E4656" t="inlineStr">
        <is>
          <t>KRISTIANSTAD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20279-2025</t>
        </is>
      </c>
      <c r="B4657" s="1" t="n">
        <v>45774.38643518519</v>
      </c>
      <c r="C4657" s="1" t="n">
        <v>45962</v>
      </c>
      <c r="D4657" t="inlineStr">
        <is>
          <t>SKÅNE LÄN</t>
        </is>
      </c>
      <c r="E4657" t="inlineStr">
        <is>
          <t>HÄSSLEHOLM</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38394-2025</t>
        </is>
      </c>
      <c r="B4658" s="1" t="n">
        <v>45883</v>
      </c>
      <c r="C4658" s="1" t="n">
        <v>45962</v>
      </c>
      <c r="D4658" t="inlineStr">
        <is>
          <t>SKÅNE LÄN</t>
        </is>
      </c>
      <c r="E4658" t="inlineStr">
        <is>
          <t>SVALÖV</t>
        </is>
      </c>
      <c r="G4658" t="n">
        <v>0.5</v>
      </c>
      <c r="H4658" t="n">
        <v>0</v>
      </c>
      <c r="I4658" t="n">
        <v>0</v>
      </c>
      <c r="J4658" t="n">
        <v>0</v>
      </c>
      <c r="K4658" t="n">
        <v>0</v>
      </c>
      <c r="L4658" t="n">
        <v>0</v>
      </c>
      <c r="M4658" t="n">
        <v>0</v>
      </c>
      <c r="N4658" t="n">
        <v>0</v>
      </c>
      <c r="O4658" t="n">
        <v>0</v>
      </c>
      <c r="P4658" t="n">
        <v>0</v>
      </c>
      <c r="Q4658" t="n">
        <v>0</v>
      </c>
      <c r="R4658" s="2" t="inlineStr"/>
    </row>
    <row r="4659" ht="15" customHeight="1">
      <c r="A4659" t="inlineStr">
        <is>
          <t>A 59431-2023</t>
        </is>
      </c>
      <c r="B4659" s="1" t="n">
        <v>45254.29207175926</v>
      </c>
      <c r="C4659" s="1" t="n">
        <v>45962</v>
      </c>
      <c r="D4659" t="inlineStr">
        <is>
          <t>SKÅNE LÄN</t>
        </is>
      </c>
      <c r="E4659" t="inlineStr">
        <is>
          <t>HÄSSLEHOLM</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59433-2023</t>
        </is>
      </c>
      <c r="B4660" s="1" t="n">
        <v>45254.29768518519</v>
      </c>
      <c r="C4660" s="1" t="n">
        <v>45962</v>
      </c>
      <c r="D4660" t="inlineStr">
        <is>
          <t>SKÅNE LÄN</t>
        </is>
      </c>
      <c r="E4660" t="inlineStr">
        <is>
          <t>HÄSSLEHOLM</t>
        </is>
      </c>
      <c r="G4660" t="n">
        <v>3.1</v>
      </c>
      <c r="H4660" t="n">
        <v>0</v>
      </c>
      <c r="I4660" t="n">
        <v>0</v>
      </c>
      <c r="J4660" t="n">
        <v>0</v>
      </c>
      <c r="K4660" t="n">
        <v>0</v>
      </c>
      <c r="L4660" t="n">
        <v>0</v>
      </c>
      <c r="M4660" t="n">
        <v>0</v>
      </c>
      <c r="N4660" t="n">
        <v>0</v>
      </c>
      <c r="O4660" t="n">
        <v>0</v>
      </c>
      <c r="P4660" t="n">
        <v>0</v>
      </c>
      <c r="Q4660" t="n">
        <v>0</v>
      </c>
      <c r="R4660" s="2" t="inlineStr"/>
    </row>
    <row r="4661" ht="15" customHeight="1">
      <c r="A4661" t="inlineStr">
        <is>
          <t>A 9555-2025</t>
        </is>
      </c>
      <c r="B4661" s="1" t="n">
        <v>45714</v>
      </c>
      <c r="C4661" s="1" t="n">
        <v>45962</v>
      </c>
      <c r="D4661" t="inlineStr">
        <is>
          <t>SKÅNE LÄN</t>
        </is>
      </c>
      <c r="E4661" t="inlineStr">
        <is>
          <t>HÄSSLEHOLM</t>
        </is>
      </c>
      <c r="G4661" t="n">
        <v>5.4</v>
      </c>
      <c r="H4661" t="n">
        <v>0</v>
      </c>
      <c r="I4661" t="n">
        <v>0</v>
      </c>
      <c r="J4661" t="n">
        <v>0</v>
      </c>
      <c r="K4661" t="n">
        <v>0</v>
      </c>
      <c r="L4661" t="n">
        <v>0</v>
      </c>
      <c r="M4661" t="n">
        <v>0</v>
      </c>
      <c r="N4661" t="n">
        <v>0</v>
      </c>
      <c r="O4661" t="n">
        <v>0</v>
      </c>
      <c r="P4661" t="n">
        <v>0</v>
      </c>
      <c r="Q4661" t="n">
        <v>0</v>
      </c>
      <c r="R4661" s="2" t="inlineStr"/>
    </row>
    <row r="4662" ht="15" customHeight="1">
      <c r="A4662" t="inlineStr">
        <is>
          <t>A 40301-2025</t>
        </is>
      </c>
      <c r="B4662" s="1" t="n">
        <v>45895</v>
      </c>
      <c r="C4662" s="1" t="n">
        <v>45962</v>
      </c>
      <c r="D4662" t="inlineStr">
        <is>
          <t>SKÅNE LÄN</t>
        </is>
      </c>
      <c r="E4662" t="inlineStr">
        <is>
          <t>KRISTIANSTAD</t>
        </is>
      </c>
      <c r="G4662" t="n">
        <v>0.5</v>
      </c>
      <c r="H4662" t="n">
        <v>0</v>
      </c>
      <c r="I4662" t="n">
        <v>0</v>
      </c>
      <c r="J4662" t="n">
        <v>0</v>
      </c>
      <c r="K4662" t="n">
        <v>0</v>
      </c>
      <c r="L4662" t="n">
        <v>0</v>
      </c>
      <c r="M4662" t="n">
        <v>0</v>
      </c>
      <c r="N4662" t="n">
        <v>0</v>
      </c>
      <c r="O4662" t="n">
        <v>0</v>
      </c>
      <c r="P4662" t="n">
        <v>0</v>
      </c>
      <c r="Q4662" t="n">
        <v>0</v>
      </c>
      <c r="R4662" s="2" t="inlineStr"/>
    </row>
    <row r="4663" ht="15" customHeight="1">
      <c r="A4663" t="inlineStr">
        <is>
          <t>A 48707-2025</t>
        </is>
      </c>
      <c r="B4663" s="1" t="n">
        <v>45935</v>
      </c>
      <c r="C4663" s="1" t="n">
        <v>45962</v>
      </c>
      <c r="D4663" t="inlineStr">
        <is>
          <t>SKÅNE LÄN</t>
        </is>
      </c>
      <c r="E4663" t="inlineStr">
        <is>
          <t>ÖSTRA GÖINGE</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55416-2021</t>
        </is>
      </c>
      <c r="B4664" s="1" t="n">
        <v>44475</v>
      </c>
      <c r="C4664" s="1" t="n">
        <v>45962</v>
      </c>
      <c r="D4664" t="inlineStr">
        <is>
          <t>SKÅNE LÄN</t>
        </is>
      </c>
      <c r="E4664" t="inlineStr">
        <is>
          <t>HÄSSLEHOLM</t>
        </is>
      </c>
      <c r="G4664" t="n">
        <v>9.199999999999999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40240-2025</t>
        </is>
      </c>
      <c r="B4665" s="1" t="n">
        <v>45894.86383101852</v>
      </c>
      <c r="C4665" s="1" t="n">
        <v>45962</v>
      </c>
      <c r="D4665" t="inlineStr">
        <is>
          <t>SKÅNE LÄN</t>
        </is>
      </c>
      <c r="E4665" t="inlineStr">
        <is>
          <t>PERSTORP</t>
        </is>
      </c>
      <c r="F4665" t="inlineStr">
        <is>
          <t>Övriga Aktiebolag</t>
        </is>
      </c>
      <c r="G4665" t="n">
        <v>4.6</v>
      </c>
      <c r="H4665" t="n">
        <v>0</v>
      </c>
      <c r="I4665" t="n">
        <v>0</v>
      </c>
      <c r="J4665" t="n">
        <v>0</v>
      </c>
      <c r="K4665" t="n">
        <v>0</v>
      </c>
      <c r="L4665" t="n">
        <v>0</v>
      </c>
      <c r="M4665" t="n">
        <v>0</v>
      </c>
      <c r="N4665" t="n">
        <v>0</v>
      </c>
      <c r="O4665" t="n">
        <v>0</v>
      </c>
      <c r="P4665" t="n">
        <v>0</v>
      </c>
      <c r="Q4665" t="n">
        <v>0</v>
      </c>
      <c r="R4665" s="2" t="inlineStr"/>
    </row>
    <row r="4666" ht="15" customHeight="1">
      <c r="A4666" t="inlineStr">
        <is>
          <t>A 40241-2025</t>
        </is>
      </c>
      <c r="B4666" s="1" t="n">
        <v>45894.87251157407</v>
      </c>
      <c r="C4666" s="1" t="n">
        <v>45962</v>
      </c>
      <c r="D4666" t="inlineStr">
        <is>
          <t>SKÅNE LÄN</t>
        </is>
      </c>
      <c r="E4666" t="inlineStr">
        <is>
          <t>HÄSSLEHOLM</t>
        </is>
      </c>
      <c r="G4666" t="n">
        <v>3.8</v>
      </c>
      <c r="H4666" t="n">
        <v>0</v>
      </c>
      <c r="I4666" t="n">
        <v>0</v>
      </c>
      <c r="J4666" t="n">
        <v>0</v>
      </c>
      <c r="K4666" t="n">
        <v>0</v>
      </c>
      <c r="L4666" t="n">
        <v>0</v>
      </c>
      <c r="M4666" t="n">
        <v>0</v>
      </c>
      <c r="N4666" t="n">
        <v>0</v>
      </c>
      <c r="O4666" t="n">
        <v>0</v>
      </c>
      <c r="P4666" t="n">
        <v>0</v>
      </c>
      <c r="Q4666" t="n">
        <v>0</v>
      </c>
      <c r="R4666" s="2" t="inlineStr"/>
    </row>
    <row r="4667" ht="15" customHeight="1">
      <c r="A4667" t="inlineStr">
        <is>
          <t>A 38147-2025</t>
        </is>
      </c>
      <c r="B4667" s="1" t="n">
        <v>45882.58765046296</v>
      </c>
      <c r="C4667" s="1" t="n">
        <v>45962</v>
      </c>
      <c r="D4667" t="inlineStr">
        <is>
          <t>SKÅNE LÄN</t>
        </is>
      </c>
      <c r="E4667" t="inlineStr">
        <is>
          <t>HÖRBY</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40286-2025</t>
        </is>
      </c>
      <c r="B4668" s="1" t="n">
        <v>45895</v>
      </c>
      <c r="C4668" s="1" t="n">
        <v>45962</v>
      </c>
      <c r="D4668" t="inlineStr">
        <is>
          <t>SKÅNE LÄN</t>
        </is>
      </c>
      <c r="E4668" t="inlineStr">
        <is>
          <t>KRISTIANSTAD</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48378-2025</t>
        </is>
      </c>
      <c r="B4669" s="1" t="n">
        <v>45933.73827546297</v>
      </c>
      <c r="C4669" s="1" t="n">
        <v>45962</v>
      </c>
      <c r="D4669" t="inlineStr">
        <is>
          <t>SKÅNE LÄN</t>
        </is>
      </c>
      <c r="E4669" t="inlineStr">
        <is>
          <t>KRISTIANSTAD</t>
        </is>
      </c>
      <c r="G4669" t="n">
        <v>5.9</v>
      </c>
      <c r="H4669" t="n">
        <v>0</v>
      </c>
      <c r="I4669" t="n">
        <v>0</v>
      </c>
      <c r="J4669" t="n">
        <v>0</v>
      </c>
      <c r="K4669" t="n">
        <v>0</v>
      </c>
      <c r="L4669" t="n">
        <v>0</v>
      </c>
      <c r="M4669" t="n">
        <v>0</v>
      </c>
      <c r="N4669" t="n">
        <v>0</v>
      </c>
      <c r="O4669" t="n">
        <v>0</v>
      </c>
      <c r="P4669" t="n">
        <v>0</v>
      </c>
      <c r="Q4669" t="n">
        <v>0</v>
      </c>
      <c r="R4669" s="2" t="inlineStr"/>
    </row>
    <row r="4670" ht="15" customHeight="1">
      <c r="A4670" t="inlineStr">
        <is>
          <t>A 4496-2025</t>
        </is>
      </c>
      <c r="B4670" s="1" t="n">
        <v>45686.67221064815</v>
      </c>
      <c r="C4670" s="1" t="n">
        <v>45962</v>
      </c>
      <c r="D4670" t="inlineStr">
        <is>
          <t>SKÅNE LÄN</t>
        </is>
      </c>
      <c r="E4670" t="inlineStr">
        <is>
          <t>OSBY</t>
        </is>
      </c>
      <c r="G4670" t="n">
        <v>1.3</v>
      </c>
      <c r="H4670" t="n">
        <v>0</v>
      </c>
      <c r="I4670" t="n">
        <v>0</v>
      </c>
      <c r="J4670" t="n">
        <v>0</v>
      </c>
      <c r="K4670" t="n">
        <v>0</v>
      </c>
      <c r="L4670" t="n">
        <v>0</v>
      </c>
      <c r="M4670" t="n">
        <v>0</v>
      </c>
      <c r="N4670" t="n">
        <v>0</v>
      </c>
      <c r="O4670" t="n">
        <v>0</v>
      </c>
      <c r="P4670" t="n">
        <v>0</v>
      </c>
      <c r="Q4670" t="n">
        <v>0</v>
      </c>
      <c r="R4670" s="2" t="inlineStr"/>
    </row>
    <row r="4671" ht="15" customHeight="1">
      <c r="A4671" t="inlineStr">
        <is>
          <t>A 4555-2025</t>
        </is>
      </c>
      <c r="B4671" s="1" t="n">
        <v>45687.43989583333</v>
      </c>
      <c r="C4671" s="1" t="n">
        <v>45962</v>
      </c>
      <c r="D4671" t="inlineStr">
        <is>
          <t>SKÅNE LÄN</t>
        </is>
      </c>
      <c r="E4671" t="inlineStr">
        <is>
          <t>HÖRBY</t>
        </is>
      </c>
      <c r="F4671" t="inlineStr">
        <is>
          <t>Sveaskog</t>
        </is>
      </c>
      <c r="G4671" t="n">
        <v>5.7</v>
      </c>
      <c r="H4671" t="n">
        <v>0</v>
      </c>
      <c r="I4671" t="n">
        <v>0</v>
      </c>
      <c r="J4671" t="n">
        <v>0</v>
      </c>
      <c r="K4671" t="n">
        <v>0</v>
      </c>
      <c r="L4671" t="n">
        <v>0</v>
      </c>
      <c r="M4671" t="n">
        <v>0</v>
      </c>
      <c r="N4671" t="n">
        <v>0</v>
      </c>
      <c r="O4671" t="n">
        <v>0</v>
      </c>
      <c r="P4671" t="n">
        <v>0</v>
      </c>
      <c r="Q4671" t="n">
        <v>0</v>
      </c>
      <c r="R4671" s="2" t="inlineStr"/>
    </row>
    <row r="4672" ht="15" customHeight="1">
      <c r="A4672" t="inlineStr">
        <is>
          <t>A 4574-2025</t>
        </is>
      </c>
      <c r="B4672" s="1" t="n">
        <v>45687</v>
      </c>
      <c r="C4672" s="1" t="n">
        <v>45962</v>
      </c>
      <c r="D4672" t="inlineStr">
        <is>
          <t>SKÅNE LÄN</t>
        </is>
      </c>
      <c r="E4672" t="inlineStr">
        <is>
          <t>BJUV</t>
        </is>
      </c>
      <c r="F4672" t="inlineStr">
        <is>
          <t>Kyrkan</t>
        </is>
      </c>
      <c r="G4672" t="n">
        <v>6.2</v>
      </c>
      <c r="H4672" t="n">
        <v>0</v>
      </c>
      <c r="I4672" t="n">
        <v>0</v>
      </c>
      <c r="J4672" t="n">
        <v>0</v>
      </c>
      <c r="K4672" t="n">
        <v>0</v>
      </c>
      <c r="L4672" t="n">
        <v>0</v>
      </c>
      <c r="M4672" t="n">
        <v>0</v>
      </c>
      <c r="N4672" t="n">
        <v>0</v>
      </c>
      <c r="O4672" t="n">
        <v>0</v>
      </c>
      <c r="P4672" t="n">
        <v>0</v>
      </c>
      <c r="Q4672" t="n">
        <v>0</v>
      </c>
      <c r="R4672" s="2" t="inlineStr"/>
    </row>
    <row r="4673" ht="15" customHeight="1">
      <c r="A4673" t="inlineStr">
        <is>
          <t>A 4579-2025</t>
        </is>
      </c>
      <c r="B4673" s="1" t="n">
        <v>45687.5009375</v>
      </c>
      <c r="C4673" s="1" t="n">
        <v>45962</v>
      </c>
      <c r="D4673" t="inlineStr">
        <is>
          <t>SKÅNE LÄN</t>
        </is>
      </c>
      <c r="E4673" t="inlineStr">
        <is>
          <t>HÄSSLEHOLM</t>
        </is>
      </c>
      <c r="G4673" t="n">
        <v>2.8</v>
      </c>
      <c r="H4673" t="n">
        <v>0</v>
      </c>
      <c r="I4673" t="n">
        <v>0</v>
      </c>
      <c r="J4673" t="n">
        <v>0</v>
      </c>
      <c r="K4673" t="n">
        <v>0</v>
      </c>
      <c r="L4673" t="n">
        <v>0</v>
      </c>
      <c r="M4673" t="n">
        <v>0</v>
      </c>
      <c r="N4673" t="n">
        <v>0</v>
      </c>
      <c r="O4673" t="n">
        <v>0</v>
      </c>
      <c r="P4673" t="n">
        <v>0</v>
      </c>
      <c r="Q4673" t="n">
        <v>0</v>
      </c>
      <c r="R4673" s="2" t="inlineStr"/>
    </row>
    <row r="4674" ht="15" customHeight="1">
      <c r="A4674" t="inlineStr">
        <is>
          <t>A 21141-2024</t>
        </is>
      </c>
      <c r="B4674" s="1" t="n">
        <v>45440.39012731481</v>
      </c>
      <c r="C4674" s="1" t="n">
        <v>45962</v>
      </c>
      <c r="D4674" t="inlineStr">
        <is>
          <t>SKÅNE LÄN</t>
        </is>
      </c>
      <c r="E4674" t="inlineStr">
        <is>
          <t>HÄSSLEHOLM</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11802-2025</t>
        </is>
      </c>
      <c r="B4675" s="1" t="n">
        <v>45727.86231481482</v>
      </c>
      <c r="C4675" s="1" t="n">
        <v>45962</v>
      </c>
      <c r="D4675" t="inlineStr">
        <is>
          <t>SKÅNE LÄN</t>
        </is>
      </c>
      <c r="E4675" t="inlineStr">
        <is>
          <t>ÖSTRA GÖINGE</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49379-2021</t>
        </is>
      </c>
      <c r="B4676" s="1" t="n">
        <v>44454</v>
      </c>
      <c r="C4676" s="1" t="n">
        <v>45962</v>
      </c>
      <c r="D4676" t="inlineStr">
        <is>
          <t>SKÅNE LÄN</t>
        </is>
      </c>
      <c r="E4676" t="inlineStr">
        <is>
          <t>HÄSSLEHOLM</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45628-2025</t>
        </is>
      </c>
      <c r="B4677" s="1" t="n">
        <v>45922</v>
      </c>
      <c r="C4677" s="1" t="n">
        <v>45962</v>
      </c>
      <c r="D4677" t="inlineStr">
        <is>
          <t>SKÅNE LÄN</t>
        </is>
      </c>
      <c r="E4677" t="inlineStr">
        <is>
          <t>ÖSTRA GÖINGE</t>
        </is>
      </c>
      <c r="G4677" t="n">
        <v>1</v>
      </c>
      <c r="H4677" t="n">
        <v>0</v>
      </c>
      <c r="I4677" t="n">
        <v>0</v>
      </c>
      <c r="J4677" t="n">
        <v>0</v>
      </c>
      <c r="K4677" t="n">
        <v>0</v>
      </c>
      <c r="L4677" t="n">
        <v>0</v>
      </c>
      <c r="M4677" t="n">
        <v>0</v>
      </c>
      <c r="N4677" t="n">
        <v>0</v>
      </c>
      <c r="O4677" t="n">
        <v>0</v>
      </c>
      <c r="P4677" t="n">
        <v>0</v>
      </c>
      <c r="Q4677" t="n">
        <v>0</v>
      </c>
      <c r="R4677" s="2" t="inlineStr"/>
    </row>
    <row r="4678" ht="15" customHeight="1">
      <c r="A4678" t="inlineStr">
        <is>
          <t>A 36240-2023</t>
        </is>
      </c>
      <c r="B4678" s="1" t="n">
        <v>45150.89295138889</v>
      </c>
      <c r="C4678" s="1" t="n">
        <v>45962</v>
      </c>
      <c r="D4678" t="inlineStr">
        <is>
          <t>SKÅNE LÄN</t>
        </is>
      </c>
      <c r="E4678" t="inlineStr">
        <is>
          <t>HÄSSLEHOLM</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33873-2024</t>
        </is>
      </c>
      <c r="B4679" s="1" t="n">
        <v>45521.66075231481</v>
      </c>
      <c r="C4679" s="1" t="n">
        <v>45962</v>
      </c>
      <c r="D4679" t="inlineStr">
        <is>
          <t>SKÅNE LÄN</t>
        </is>
      </c>
      <c r="E4679" t="inlineStr">
        <is>
          <t>HÖRBY</t>
        </is>
      </c>
      <c r="G4679" t="n">
        <v>3.5</v>
      </c>
      <c r="H4679" t="n">
        <v>0</v>
      </c>
      <c r="I4679" t="n">
        <v>0</v>
      </c>
      <c r="J4679" t="n">
        <v>0</v>
      </c>
      <c r="K4679" t="n">
        <v>0</v>
      </c>
      <c r="L4679" t="n">
        <v>0</v>
      </c>
      <c r="M4679" t="n">
        <v>0</v>
      </c>
      <c r="N4679" t="n">
        <v>0</v>
      </c>
      <c r="O4679" t="n">
        <v>0</v>
      </c>
      <c r="P4679" t="n">
        <v>0</v>
      </c>
      <c r="Q4679" t="n">
        <v>0</v>
      </c>
      <c r="R4679" s="2" t="inlineStr"/>
    </row>
    <row r="4680" ht="15" customHeight="1">
      <c r="A4680" t="inlineStr">
        <is>
          <t>A 5557-2022</t>
        </is>
      </c>
      <c r="B4680" s="1" t="n">
        <v>44593</v>
      </c>
      <c r="C4680" s="1" t="n">
        <v>45962</v>
      </c>
      <c r="D4680" t="inlineStr">
        <is>
          <t>SKÅNE LÄN</t>
        </is>
      </c>
      <c r="E4680" t="inlineStr">
        <is>
          <t>KLIPPAN</t>
        </is>
      </c>
      <c r="G4680" t="n">
        <v>2.4</v>
      </c>
      <c r="H4680" t="n">
        <v>0</v>
      </c>
      <c r="I4680" t="n">
        <v>0</v>
      </c>
      <c r="J4680" t="n">
        <v>0</v>
      </c>
      <c r="K4680" t="n">
        <v>0</v>
      </c>
      <c r="L4680" t="n">
        <v>0</v>
      </c>
      <c r="M4680" t="n">
        <v>0</v>
      </c>
      <c r="N4680" t="n">
        <v>0</v>
      </c>
      <c r="O4680" t="n">
        <v>0</v>
      </c>
      <c r="P4680" t="n">
        <v>0</v>
      </c>
      <c r="Q4680" t="n">
        <v>0</v>
      </c>
      <c r="R4680" s="2" t="inlineStr"/>
    </row>
    <row r="4681" ht="15" customHeight="1">
      <c r="A4681" t="inlineStr">
        <is>
          <t>A 19268-2024</t>
        </is>
      </c>
      <c r="B4681" s="1" t="n">
        <v>45428.63112268518</v>
      </c>
      <c r="C4681" s="1" t="n">
        <v>45962</v>
      </c>
      <c r="D4681" t="inlineStr">
        <is>
          <t>SKÅNE LÄN</t>
        </is>
      </c>
      <c r="E4681" t="inlineStr">
        <is>
          <t>SVEDALA</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121-2021</t>
        </is>
      </c>
      <c r="B4682" s="1" t="n">
        <v>44200.45394675926</v>
      </c>
      <c r="C4682" s="1" t="n">
        <v>45962</v>
      </c>
      <c r="D4682" t="inlineStr">
        <is>
          <t>SKÅNE LÄN</t>
        </is>
      </c>
      <c r="E4682" t="inlineStr">
        <is>
          <t>OSBY</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39994-2025</t>
        </is>
      </c>
      <c r="B4683" s="1" t="n">
        <v>45894.31759259259</v>
      </c>
      <c r="C4683" s="1" t="n">
        <v>45962</v>
      </c>
      <c r="D4683" t="inlineStr">
        <is>
          <t>SKÅNE LÄN</t>
        </is>
      </c>
      <c r="E4683" t="inlineStr">
        <is>
          <t>KRISTIANSTAD</t>
        </is>
      </c>
      <c r="G4683" t="n">
        <v>12.8</v>
      </c>
      <c r="H4683" t="n">
        <v>0</v>
      </c>
      <c r="I4683" t="n">
        <v>0</v>
      </c>
      <c r="J4683" t="n">
        <v>0</v>
      </c>
      <c r="K4683" t="n">
        <v>0</v>
      </c>
      <c r="L4683" t="n">
        <v>0</v>
      </c>
      <c r="M4683" t="n">
        <v>0</v>
      </c>
      <c r="N4683" t="n">
        <v>0</v>
      </c>
      <c r="O4683" t="n">
        <v>0</v>
      </c>
      <c r="P4683" t="n">
        <v>0</v>
      </c>
      <c r="Q4683" t="n">
        <v>0</v>
      </c>
      <c r="R4683" s="2" t="inlineStr"/>
    </row>
    <row r="4684" ht="15" customHeight="1">
      <c r="A4684" t="inlineStr">
        <is>
          <t>A 45871-2025</t>
        </is>
      </c>
      <c r="B4684" s="1" t="n">
        <v>45923.6546875</v>
      </c>
      <c r="C4684" s="1" t="n">
        <v>45962</v>
      </c>
      <c r="D4684" t="inlineStr">
        <is>
          <t>SKÅNE LÄN</t>
        </is>
      </c>
      <c r="E4684" t="inlineStr">
        <is>
          <t>ÖSTRA GÖINGE</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13851-2025</t>
        </is>
      </c>
      <c r="B4685" s="1" t="n">
        <v>45737.56777777777</v>
      </c>
      <c r="C4685" s="1" t="n">
        <v>45962</v>
      </c>
      <c r="D4685" t="inlineStr">
        <is>
          <t>SKÅNE LÄN</t>
        </is>
      </c>
      <c r="E4685" t="inlineStr">
        <is>
          <t>HÄSSLEHOLM</t>
        </is>
      </c>
      <c r="G4685" t="n">
        <v>3</v>
      </c>
      <c r="H4685" t="n">
        <v>0</v>
      </c>
      <c r="I4685" t="n">
        <v>0</v>
      </c>
      <c r="J4685" t="n">
        <v>0</v>
      </c>
      <c r="K4685" t="n">
        <v>0</v>
      </c>
      <c r="L4685" t="n">
        <v>0</v>
      </c>
      <c r="M4685" t="n">
        <v>0</v>
      </c>
      <c r="N4685" t="n">
        <v>0</v>
      </c>
      <c r="O4685" t="n">
        <v>0</v>
      </c>
      <c r="P4685" t="n">
        <v>0</v>
      </c>
      <c r="Q4685" t="n">
        <v>0</v>
      </c>
      <c r="R4685" s="2" t="inlineStr"/>
    </row>
    <row r="4686" ht="15" customHeight="1">
      <c r="A4686" t="inlineStr">
        <is>
          <t>A 1935-2024</t>
        </is>
      </c>
      <c r="B4686" s="1" t="n">
        <v>45308</v>
      </c>
      <c r="C4686" s="1" t="n">
        <v>45962</v>
      </c>
      <c r="D4686" t="inlineStr">
        <is>
          <t>SKÅNE LÄN</t>
        </is>
      </c>
      <c r="E4686" t="inlineStr">
        <is>
          <t>ÖRKELLJUNGA</t>
        </is>
      </c>
      <c r="G4686" t="n">
        <v>0.2</v>
      </c>
      <c r="H4686" t="n">
        <v>0</v>
      </c>
      <c r="I4686" t="n">
        <v>0</v>
      </c>
      <c r="J4686" t="n">
        <v>0</v>
      </c>
      <c r="K4686" t="n">
        <v>0</v>
      </c>
      <c r="L4686" t="n">
        <v>0</v>
      </c>
      <c r="M4686" t="n">
        <v>0</v>
      </c>
      <c r="N4686" t="n">
        <v>0</v>
      </c>
      <c r="O4686" t="n">
        <v>0</v>
      </c>
      <c r="P4686" t="n">
        <v>0</v>
      </c>
      <c r="Q4686" t="n">
        <v>0</v>
      </c>
      <c r="R4686" s="2" t="inlineStr"/>
    </row>
    <row r="4687" ht="15" customHeight="1">
      <c r="A4687" t="inlineStr">
        <is>
          <t>A 62397-2022</t>
        </is>
      </c>
      <c r="B4687" s="1" t="n">
        <v>44923</v>
      </c>
      <c r="C4687" s="1" t="n">
        <v>45962</v>
      </c>
      <c r="D4687" t="inlineStr">
        <is>
          <t>SKÅNE LÄN</t>
        </is>
      </c>
      <c r="E4687" t="inlineStr">
        <is>
          <t>KRISTIANSTAD</t>
        </is>
      </c>
      <c r="G4687" t="n">
        <v>12.6</v>
      </c>
      <c r="H4687" t="n">
        <v>0</v>
      </c>
      <c r="I4687" t="n">
        <v>0</v>
      </c>
      <c r="J4687" t="n">
        <v>0</v>
      </c>
      <c r="K4687" t="n">
        <v>0</v>
      </c>
      <c r="L4687" t="n">
        <v>0</v>
      </c>
      <c r="M4687" t="n">
        <v>0</v>
      </c>
      <c r="N4687" t="n">
        <v>0</v>
      </c>
      <c r="O4687" t="n">
        <v>0</v>
      </c>
      <c r="P4687" t="n">
        <v>0</v>
      </c>
      <c r="Q4687" t="n">
        <v>0</v>
      </c>
      <c r="R4687" s="2" t="inlineStr"/>
    </row>
    <row r="4688" ht="15" customHeight="1">
      <c r="A4688" t="inlineStr">
        <is>
          <t>A 40083-2025</t>
        </is>
      </c>
      <c r="B4688" s="1" t="n">
        <v>45894.46975694445</v>
      </c>
      <c r="C4688" s="1" t="n">
        <v>45962</v>
      </c>
      <c r="D4688" t="inlineStr">
        <is>
          <t>SKÅNE LÄN</t>
        </is>
      </c>
      <c r="E4688" t="inlineStr">
        <is>
          <t>HÖÖR</t>
        </is>
      </c>
      <c r="G4688" t="n">
        <v>2.1</v>
      </c>
      <c r="H4688" t="n">
        <v>0</v>
      </c>
      <c r="I4688" t="n">
        <v>0</v>
      </c>
      <c r="J4688" t="n">
        <v>0</v>
      </c>
      <c r="K4688" t="n">
        <v>0</v>
      </c>
      <c r="L4688" t="n">
        <v>0</v>
      </c>
      <c r="M4688" t="n">
        <v>0</v>
      </c>
      <c r="N4688" t="n">
        <v>0</v>
      </c>
      <c r="O4688" t="n">
        <v>0</v>
      </c>
      <c r="P4688" t="n">
        <v>0</v>
      </c>
      <c r="Q4688" t="n">
        <v>0</v>
      </c>
      <c r="R4688" s="2" t="inlineStr"/>
    </row>
    <row r="4689" ht="15" customHeight="1">
      <c r="A4689" t="inlineStr">
        <is>
          <t>A 12469-2023</t>
        </is>
      </c>
      <c r="B4689" s="1" t="n">
        <v>44999.62109953703</v>
      </c>
      <c r="C4689" s="1" t="n">
        <v>45962</v>
      </c>
      <c r="D4689" t="inlineStr">
        <is>
          <t>SKÅNE LÄN</t>
        </is>
      </c>
      <c r="E4689" t="inlineStr">
        <is>
          <t>HÄSSLEHOLM</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17371-2024</t>
        </is>
      </c>
      <c r="B4690" s="1" t="n">
        <v>45414.63265046296</v>
      </c>
      <c r="C4690" s="1" t="n">
        <v>45962</v>
      </c>
      <c r="D4690" t="inlineStr">
        <is>
          <t>SKÅNE LÄN</t>
        </is>
      </c>
      <c r="E4690" t="inlineStr">
        <is>
          <t>KRISTIANSTAD</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38262-2025</t>
        </is>
      </c>
      <c r="B4691" s="1" t="n">
        <v>45883.39725694444</v>
      </c>
      <c r="C4691" s="1" t="n">
        <v>45962</v>
      </c>
      <c r="D4691" t="inlineStr">
        <is>
          <t>SKÅNE LÄN</t>
        </is>
      </c>
      <c r="E4691" t="inlineStr">
        <is>
          <t>KRISTIANSTAD</t>
        </is>
      </c>
      <c r="G4691" t="n">
        <v>0.8</v>
      </c>
      <c r="H4691" t="n">
        <v>0</v>
      </c>
      <c r="I4691" t="n">
        <v>0</v>
      </c>
      <c r="J4691" t="n">
        <v>0</v>
      </c>
      <c r="K4691" t="n">
        <v>0</v>
      </c>
      <c r="L4691" t="n">
        <v>0</v>
      </c>
      <c r="M4691" t="n">
        <v>0</v>
      </c>
      <c r="N4691" t="n">
        <v>0</v>
      </c>
      <c r="O4691" t="n">
        <v>0</v>
      </c>
      <c r="P4691" t="n">
        <v>0</v>
      </c>
      <c r="Q4691" t="n">
        <v>0</v>
      </c>
      <c r="R4691" s="2" t="inlineStr"/>
    </row>
    <row r="4692" ht="15" customHeight="1">
      <c r="A4692" t="inlineStr">
        <is>
          <t>A 40287-2025</t>
        </is>
      </c>
      <c r="B4692" s="1" t="n">
        <v>45895</v>
      </c>
      <c r="C4692" s="1" t="n">
        <v>45962</v>
      </c>
      <c r="D4692" t="inlineStr">
        <is>
          <t>SKÅNE LÄN</t>
        </is>
      </c>
      <c r="E4692" t="inlineStr">
        <is>
          <t>ÄNGELHOLM</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29083-2023</t>
        </is>
      </c>
      <c r="B4693" s="1" t="n">
        <v>45105</v>
      </c>
      <c r="C4693" s="1" t="n">
        <v>45962</v>
      </c>
      <c r="D4693" t="inlineStr">
        <is>
          <t>SKÅNE LÄN</t>
        </is>
      </c>
      <c r="E4693" t="inlineStr">
        <is>
          <t>LUND</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38121-2025</t>
        </is>
      </c>
      <c r="B4694" s="1" t="n">
        <v>45882.55253472222</v>
      </c>
      <c r="C4694" s="1" t="n">
        <v>45962</v>
      </c>
      <c r="D4694" t="inlineStr">
        <is>
          <t>SKÅNE LÄN</t>
        </is>
      </c>
      <c r="E4694" t="inlineStr">
        <is>
          <t>KRISTIANSTAD</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46613-2024</t>
        </is>
      </c>
      <c r="B4695" s="1" t="n">
        <v>45583</v>
      </c>
      <c r="C4695" s="1" t="n">
        <v>45962</v>
      </c>
      <c r="D4695" t="inlineStr">
        <is>
          <t>SKÅNE LÄN</t>
        </is>
      </c>
      <c r="E4695" t="inlineStr">
        <is>
          <t>ÄNGELHOLM</t>
        </is>
      </c>
      <c r="G4695" t="n">
        <v>6.2</v>
      </c>
      <c r="H4695" t="n">
        <v>0</v>
      </c>
      <c r="I4695" t="n">
        <v>0</v>
      </c>
      <c r="J4695" t="n">
        <v>0</v>
      </c>
      <c r="K4695" t="n">
        <v>0</v>
      </c>
      <c r="L4695" t="n">
        <v>0</v>
      </c>
      <c r="M4695" t="n">
        <v>0</v>
      </c>
      <c r="N4695" t="n">
        <v>0</v>
      </c>
      <c r="O4695" t="n">
        <v>0</v>
      </c>
      <c r="P4695" t="n">
        <v>0</v>
      </c>
      <c r="Q4695" t="n">
        <v>0</v>
      </c>
      <c r="R4695" s="2" t="inlineStr"/>
    </row>
    <row r="4696" ht="15" customHeight="1">
      <c r="A4696" t="inlineStr">
        <is>
          <t>A 45762-2025</t>
        </is>
      </c>
      <c r="B4696" s="1" t="n">
        <v>45923.51548611111</v>
      </c>
      <c r="C4696" s="1" t="n">
        <v>45962</v>
      </c>
      <c r="D4696" t="inlineStr">
        <is>
          <t>SKÅNE LÄN</t>
        </is>
      </c>
      <c r="E4696" t="inlineStr">
        <is>
          <t>HÄSSLEHOLM</t>
        </is>
      </c>
      <c r="G4696" t="n">
        <v>2.3</v>
      </c>
      <c r="H4696" t="n">
        <v>0</v>
      </c>
      <c r="I4696" t="n">
        <v>0</v>
      </c>
      <c r="J4696" t="n">
        <v>0</v>
      </c>
      <c r="K4696" t="n">
        <v>0</v>
      </c>
      <c r="L4696" t="n">
        <v>0</v>
      </c>
      <c r="M4696" t="n">
        <v>0</v>
      </c>
      <c r="N4696" t="n">
        <v>0</v>
      </c>
      <c r="O4696" t="n">
        <v>0</v>
      </c>
      <c r="P4696" t="n">
        <v>0</v>
      </c>
      <c r="Q4696" t="n">
        <v>0</v>
      </c>
      <c r="R4696" s="2" t="inlineStr"/>
    </row>
    <row r="4697" ht="15" customHeight="1">
      <c r="A4697" t="inlineStr">
        <is>
          <t>A 45764-2025</t>
        </is>
      </c>
      <c r="B4697" s="1" t="n">
        <v>45923.52037037037</v>
      </c>
      <c r="C4697" s="1" t="n">
        <v>45962</v>
      </c>
      <c r="D4697" t="inlineStr">
        <is>
          <t>SKÅNE LÄN</t>
        </is>
      </c>
      <c r="E4697" t="inlineStr">
        <is>
          <t>HÄSSLEHOLM</t>
        </is>
      </c>
      <c r="G4697" t="n">
        <v>6.3</v>
      </c>
      <c r="H4697" t="n">
        <v>0</v>
      </c>
      <c r="I4697" t="n">
        <v>0</v>
      </c>
      <c r="J4697" t="n">
        <v>0</v>
      </c>
      <c r="K4697" t="n">
        <v>0</v>
      </c>
      <c r="L4697" t="n">
        <v>0</v>
      </c>
      <c r="M4697" t="n">
        <v>0</v>
      </c>
      <c r="N4697" t="n">
        <v>0</v>
      </c>
      <c r="O4697" t="n">
        <v>0</v>
      </c>
      <c r="P4697" t="n">
        <v>0</v>
      </c>
      <c r="Q4697" t="n">
        <v>0</v>
      </c>
      <c r="R4697" s="2" t="inlineStr"/>
    </row>
    <row r="4698" ht="15" customHeight="1">
      <c r="A4698" t="inlineStr">
        <is>
          <t>A 10940-2024</t>
        </is>
      </c>
      <c r="B4698" s="1" t="n">
        <v>45370.45334490741</v>
      </c>
      <c r="C4698" s="1" t="n">
        <v>45962</v>
      </c>
      <c r="D4698" t="inlineStr">
        <is>
          <t>SKÅNE LÄN</t>
        </is>
      </c>
      <c r="E4698" t="inlineStr">
        <is>
          <t>ESLÖV</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10967-2024</t>
        </is>
      </c>
      <c r="B4699" s="1" t="n">
        <v>45370.50613425926</v>
      </c>
      <c r="C4699" s="1" t="n">
        <v>45962</v>
      </c>
      <c r="D4699" t="inlineStr">
        <is>
          <t>SKÅNE LÄN</t>
        </is>
      </c>
      <c r="E4699" t="inlineStr">
        <is>
          <t>OSBY</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40090-2025</t>
        </is>
      </c>
      <c r="B4700" s="1" t="n">
        <v>45894.47711805555</v>
      </c>
      <c r="C4700" s="1" t="n">
        <v>45962</v>
      </c>
      <c r="D4700" t="inlineStr">
        <is>
          <t>SKÅNE LÄN</t>
        </is>
      </c>
      <c r="E4700" t="inlineStr">
        <is>
          <t>HÖÖR</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56998-2024</t>
        </is>
      </c>
      <c r="B4701" s="1" t="n">
        <v>45628.72</v>
      </c>
      <c r="C4701" s="1" t="n">
        <v>45962</v>
      </c>
      <c r="D4701" t="inlineStr">
        <is>
          <t>SKÅNE LÄN</t>
        </is>
      </c>
      <c r="E4701" t="inlineStr">
        <is>
          <t>OSBY</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20096-2024</t>
        </is>
      </c>
      <c r="B4702" s="1" t="n">
        <v>45434</v>
      </c>
      <c r="C4702" s="1" t="n">
        <v>45962</v>
      </c>
      <c r="D4702" t="inlineStr">
        <is>
          <t>SKÅNE LÄN</t>
        </is>
      </c>
      <c r="E4702" t="inlineStr">
        <is>
          <t>SIMRISHAMN</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45849-2025</t>
        </is>
      </c>
      <c r="B4703" s="1" t="n">
        <v>45923.62017361111</v>
      </c>
      <c r="C4703" s="1" t="n">
        <v>45962</v>
      </c>
      <c r="D4703" t="inlineStr">
        <is>
          <t>SKÅNE LÄN</t>
        </is>
      </c>
      <c r="E4703" t="inlineStr">
        <is>
          <t>KRISTIANSTAD</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31944-2024</t>
        </is>
      </c>
      <c r="B4704" s="1" t="n">
        <v>45510.44241898148</v>
      </c>
      <c r="C4704" s="1" t="n">
        <v>45962</v>
      </c>
      <c r="D4704" t="inlineStr">
        <is>
          <t>SKÅNE LÄN</t>
        </is>
      </c>
      <c r="E4704" t="inlineStr">
        <is>
          <t>BROMÖLLA</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48720-2025</t>
        </is>
      </c>
      <c r="B4705" s="1" t="n">
        <v>45935</v>
      </c>
      <c r="C4705" s="1" t="n">
        <v>45962</v>
      </c>
      <c r="D4705" t="inlineStr">
        <is>
          <t>SKÅNE LÄN</t>
        </is>
      </c>
      <c r="E4705" t="inlineStr">
        <is>
          <t>ÖSTRA GÖINGE</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48722-2025</t>
        </is>
      </c>
      <c r="B4706" s="1" t="n">
        <v>45935</v>
      </c>
      <c r="C4706" s="1" t="n">
        <v>45962</v>
      </c>
      <c r="D4706" t="inlineStr">
        <is>
          <t>SKÅNE LÄN</t>
        </is>
      </c>
      <c r="E4706" t="inlineStr">
        <is>
          <t>HÄSSLEHOLM</t>
        </is>
      </c>
      <c r="G4706" t="n">
        <v>4.3</v>
      </c>
      <c r="H4706" t="n">
        <v>0</v>
      </c>
      <c r="I4706" t="n">
        <v>0</v>
      </c>
      <c r="J4706" t="n">
        <v>0</v>
      </c>
      <c r="K4706" t="n">
        <v>0</v>
      </c>
      <c r="L4706" t="n">
        <v>0</v>
      </c>
      <c r="M4706" t="n">
        <v>0</v>
      </c>
      <c r="N4706" t="n">
        <v>0</v>
      </c>
      <c r="O4706" t="n">
        <v>0</v>
      </c>
      <c r="P4706" t="n">
        <v>0</v>
      </c>
      <c r="Q4706" t="n">
        <v>0</v>
      </c>
      <c r="R4706" s="2" t="inlineStr"/>
    </row>
    <row r="4707" ht="15" customHeight="1">
      <c r="A4707" t="inlineStr">
        <is>
          <t>A 45878-2025</t>
        </is>
      </c>
      <c r="B4707" s="1" t="n">
        <v>45923.65899305556</v>
      </c>
      <c r="C4707" s="1" t="n">
        <v>45962</v>
      </c>
      <c r="D4707" t="inlineStr">
        <is>
          <t>SKÅNE LÄN</t>
        </is>
      </c>
      <c r="E4707" t="inlineStr">
        <is>
          <t>ÖSTRA GÖINGE</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48870-2025</t>
        </is>
      </c>
      <c r="B4708" s="1" t="n">
        <v>45937.44994212963</v>
      </c>
      <c r="C4708" s="1" t="n">
        <v>45962</v>
      </c>
      <c r="D4708" t="inlineStr">
        <is>
          <t>SKÅNE LÄN</t>
        </is>
      </c>
      <c r="E4708" t="inlineStr">
        <is>
          <t>ÖRKELLJUNGA</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5623-2024</t>
        </is>
      </c>
      <c r="B4709" s="1" t="n">
        <v>45334</v>
      </c>
      <c r="C4709" s="1" t="n">
        <v>45962</v>
      </c>
      <c r="D4709" t="inlineStr">
        <is>
          <t>SKÅNE LÄN</t>
        </is>
      </c>
      <c r="E4709" t="inlineStr">
        <is>
          <t>KRISTIANSTAD</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45400-2022</t>
        </is>
      </c>
      <c r="B4710" s="1" t="n">
        <v>44844.713125</v>
      </c>
      <c r="C4710" s="1" t="n">
        <v>45962</v>
      </c>
      <c r="D4710" t="inlineStr">
        <is>
          <t>SKÅNE LÄN</t>
        </is>
      </c>
      <c r="E4710" t="inlineStr">
        <is>
          <t>HÄSSLEHOLM</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48789-2025</t>
        </is>
      </c>
      <c r="B4711" s="1" t="n">
        <v>45937.32253472223</v>
      </c>
      <c r="C4711" s="1" t="n">
        <v>45962</v>
      </c>
      <c r="D4711" t="inlineStr">
        <is>
          <t>SKÅNE LÄN</t>
        </is>
      </c>
      <c r="E4711" t="inlineStr">
        <is>
          <t>OSBY</t>
        </is>
      </c>
      <c r="F4711" t="inlineStr">
        <is>
          <t>Sveaskog</t>
        </is>
      </c>
      <c r="G4711" t="n">
        <v>3.5</v>
      </c>
      <c r="H4711" t="n">
        <v>0</v>
      </c>
      <c r="I4711" t="n">
        <v>0</v>
      </c>
      <c r="J4711" t="n">
        <v>0</v>
      </c>
      <c r="K4711" t="n">
        <v>0</v>
      </c>
      <c r="L4711" t="n">
        <v>0</v>
      </c>
      <c r="M4711" t="n">
        <v>0</v>
      </c>
      <c r="N4711" t="n">
        <v>0</v>
      </c>
      <c r="O4711" t="n">
        <v>0</v>
      </c>
      <c r="P4711" t="n">
        <v>0</v>
      </c>
      <c r="Q4711" t="n">
        <v>0</v>
      </c>
      <c r="R4711" s="2" t="inlineStr"/>
    </row>
    <row r="4712" ht="15" customHeight="1">
      <c r="A4712" t="inlineStr">
        <is>
          <t>A 61348-2024</t>
        </is>
      </c>
      <c r="B4712" s="1" t="n">
        <v>45646.37674768519</v>
      </c>
      <c r="C4712" s="1" t="n">
        <v>45962</v>
      </c>
      <c r="D4712" t="inlineStr">
        <is>
          <t>SKÅNE LÄN</t>
        </is>
      </c>
      <c r="E4712" t="inlineStr">
        <is>
          <t>KRISTIANSTAD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46456-2025</t>
        </is>
      </c>
      <c r="B4713" s="1" t="n">
        <v>45925.66001157407</v>
      </c>
      <c r="C4713" s="1" t="n">
        <v>45962</v>
      </c>
      <c r="D4713" t="inlineStr">
        <is>
          <t>SKÅNE LÄN</t>
        </is>
      </c>
      <c r="E4713" t="inlineStr">
        <is>
          <t>KRISTIANSTAD</t>
        </is>
      </c>
      <c r="F4713" t="inlineStr">
        <is>
          <t>Övriga Aktiebolag</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5622-2024</t>
        </is>
      </c>
      <c r="B4714" s="1" t="n">
        <v>45334.59233796296</v>
      </c>
      <c r="C4714" s="1" t="n">
        <v>45962</v>
      </c>
      <c r="D4714" t="inlineStr">
        <is>
          <t>SKÅNE LÄN</t>
        </is>
      </c>
      <c r="E4714" t="inlineStr">
        <is>
          <t>KRISTIANSTAD</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74050-2021</t>
        </is>
      </c>
      <c r="B4715" s="1" t="n">
        <v>44557.49318287037</v>
      </c>
      <c r="C4715" s="1" t="n">
        <v>45962</v>
      </c>
      <c r="D4715" t="inlineStr">
        <is>
          <t>SKÅNE LÄN</t>
        </is>
      </c>
      <c r="E4715" t="inlineStr">
        <is>
          <t>OSBY</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11221-2024</t>
        </is>
      </c>
      <c r="B4716" s="1" t="n">
        <v>45371.59097222222</v>
      </c>
      <c r="C4716" s="1" t="n">
        <v>45962</v>
      </c>
      <c r="D4716" t="inlineStr">
        <is>
          <t>SKÅNE LÄN</t>
        </is>
      </c>
      <c r="E4716" t="inlineStr">
        <is>
          <t>ESLÖV</t>
        </is>
      </c>
      <c r="G4716" t="n">
        <v>0.3</v>
      </c>
      <c r="H4716" t="n">
        <v>0</v>
      </c>
      <c r="I4716" t="n">
        <v>0</v>
      </c>
      <c r="J4716" t="n">
        <v>0</v>
      </c>
      <c r="K4716" t="n">
        <v>0</v>
      </c>
      <c r="L4716" t="n">
        <v>0</v>
      </c>
      <c r="M4716" t="n">
        <v>0</v>
      </c>
      <c r="N4716" t="n">
        <v>0</v>
      </c>
      <c r="O4716" t="n">
        <v>0</v>
      </c>
      <c r="P4716" t="n">
        <v>0</v>
      </c>
      <c r="Q4716" t="n">
        <v>0</v>
      </c>
      <c r="R4716" s="2" t="inlineStr"/>
    </row>
    <row r="4717" ht="15" customHeight="1">
      <c r="A4717" t="inlineStr">
        <is>
          <t>A 45886-2025</t>
        </is>
      </c>
      <c r="B4717" s="1" t="n">
        <v>45923.66560185186</v>
      </c>
      <c r="C4717" s="1" t="n">
        <v>45962</v>
      </c>
      <c r="D4717" t="inlineStr">
        <is>
          <t>SKÅNE LÄN</t>
        </is>
      </c>
      <c r="E4717" t="inlineStr">
        <is>
          <t>KLIPPAN</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2248-2025</t>
        </is>
      </c>
      <c r="B4718" s="1" t="n">
        <v>45673.49231481482</v>
      </c>
      <c r="C4718" s="1" t="n">
        <v>45962</v>
      </c>
      <c r="D4718" t="inlineStr">
        <is>
          <t>SKÅNE LÄN</t>
        </is>
      </c>
      <c r="E4718" t="inlineStr">
        <is>
          <t>LUND</t>
        </is>
      </c>
      <c r="G4718" t="n">
        <v>11.7</v>
      </c>
      <c r="H4718" t="n">
        <v>0</v>
      </c>
      <c r="I4718" t="n">
        <v>0</v>
      </c>
      <c r="J4718" t="n">
        <v>0</v>
      </c>
      <c r="K4718" t="n">
        <v>0</v>
      </c>
      <c r="L4718" t="n">
        <v>0</v>
      </c>
      <c r="M4718" t="n">
        <v>0</v>
      </c>
      <c r="N4718" t="n">
        <v>0</v>
      </c>
      <c r="O4718" t="n">
        <v>0</v>
      </c>
      <c r="P4718" t="n">
        <v>0</v>
      </c>
      <c r="Q4718" t="n">
        <v>0</v>
      </c>
      <c r="R4718" s="2" t="inlineStr"/>
    </row>
    <row r="4719" ht="15" customHeight="1">
      <c r="A4719" t="inlineStr">
        <is>
          <t>A 60840-2020</t>
        </is>
      </c>
      <c r="B4719" s="1" t="n">
        <v>44154</v>
      </c>
      <c r="C4719" s="1" t="n">
        <v>45962</v>
      </c>
      <c r="D4719" t="inlineStr">
        <is>
          <t>SKÅNE LÄN</t>
        </is>
      </c>
      <c r="E4719" t="inlineStr">
        <is>
          <t>ÖSTRA GÖINGE</t>
        </is>
      </c>
      <c r="G4719" t="n">
        <v>2.1</v>
      </c>
      <c r="H4719" t="n">
        <v>0</v>
      </c>
      <c r="I4719" t="n">
        <v>0</v>
      </c>
      <c r="J4719" t="n">
        <v>0</v>
      </c>
      <c r="K4719" t="n">
        <v>0</v>
      </c>
      <c r="L4719" t="n">
        <v>0</v>
      </c>
      <c r="M4719" t="n">
        <v>0</v>
      </c>
      <c r="N4719" t="n">
        <v>0</v>
      </c>
      <c r="O4719" t="n">
        <v>0</v>
      </c>
      <c r="P4719" t="n">
        <v>0</v>
      </c>
      <c r="Q4719" t="n">
        <v>0</v>
      </c>
      <c r="R4719" s="2" t="inlineStr"/>
    </row>
    <row r="4720" ht="15" customHeight="1">
      <c r="A4720" t="inlineStr">
        <is>
          <t>A 52372-2021</t>
        </is>
      </c>
      <c r="B4720" s="1" t="n">
        <v>44465</v>
      </c>
      <c r="C4720" s="1" t="n">
        <v>45962</v>
      </c>
      <c r="D4720" t="inlineStr">
        <is>
          <t>SKÅNE LÄN</t>
        </is>
      </c>
      <c r="E4720" t="inlineStr">
        <is>
          <t>ÖRKELLJUNGA</t>
        </is>
      </c>
      <c r="G4720" t="n">
        <v>0.4</v>
      </c>
      <c r="H4720" t="n">
        <v>0</v>
      </c>
      <c r="I4720" t="n">
        <v>0</v>
      </c>
      <c r="J4720" t="n">
        <v>0</v>
      </c>
      <c r="K4720" t="n">
        <v>0</v>
      </c>
      <c r="L4720" t="n">
        <v>0</v>
      </c>
      <c r="M4720" t="n">
        <v>0</v>
      </c>
      <c r="N4720" t="n">
        <v>0</v>
      </c>
      <c r="O4720" t="n">
        <v>0</v>
      </c>
      <c r="P4720" t="n">
        <v>0</v>
      </c>
      <c r="Q4720" t="n">
        <v>0</v>
      </c>
      <c r="R4720" s="2" t="inlineStr"/>
    </row>
    <row r="4721" ht="15" customHeight="1">
      <c r="A4721" t="inlineStr">
        <is>
          <t>A 37554-2024</t>
        </is>
      </c>
      <c r="B4721" s="1" t="n">
        <v>45541.43700231481</v>
      </c>
      <c r="C4721" s="1" t="n">
        <v>45962</v>
      </c>
      <c r="D4721" t="inlineStr">
        <is>
          <t>SKÅNE LÄN</t>
        </is>
      </c>
      <c r="E4721" t="inlineStr">
        <is>
          <t>ÖSTRA GÖINGE</t>
        </is>
      </c>
      <c r="G4721" t="n">
        <v>0.8</v>
      </c>
      <c r="H4721" t="n">
        <v>0</v>
      </c>
      <c r="I4721" t="n">
        <v>0</v>
      </c>
      <c r="J4721" t="n">
        <v>0</v>
      </c>
      <c r="K4721" t="n">
        <v>0</v>
      </c>
      <c r="L4721" t="n">
        <v>0</v>
      </c>
      <c r="M4721" t="n">
        <v>0</v>
      </c>
      <c r="N4721" t="n">
        <v>0</v>
      </c>
      <c r="O4721" t="n">
        <v>0</v>
      </c>
      <c r="P4721" t="n">
        <v>0</v>
      </c>
      <c r="Q4721" t="n">
        <v>0</v>
      </c>
      <c r="R4721" s="2" t="inlineStr"/>
    </row>
    <row r="4722" ht="15" customHeight="1">
      <c r="A4722" t="inlineStr">
        <is>
          <t>A 37558-2024</t>
        </is>
      </c>
      <c r="B4722" s="1" t="n">
        <v>45541.43848379629</v>
      </c>
      <c r="C4722" s="1" t="n">
        <v>45962</v>
      </c>
      <c r="D4722" t="inlineStr">
        <is>
          <t>SKÅNE LÄN</t>
        </is>
      </c>
      <c r="E4722" t="inlineStr">
        <is>
          <t>ÖSTRA GÖINGE</t>
        </is>
      </c>
      <c r="G4722" t="n">
        <v>2.3</v>
      </c>
      <c r="H4722" t="n">
        <v>0</v>
      </c>
      <c r="I4722" t="n">
        <v>0</v>
      </c>
      <c r="J4722" t="n">
        <v>0</v>
      </c>
      <c r="K4722" t="n">
        <v>0</v>
      </c>
      <c r="L4722" t="n">
        <v>0</v>
      </c>
      <c r="M4722" t="n">
        <v>0</v>
      </c>
      <c r="N4722" t="n">
        <v>0</v>
      </c>
      <c r="O4722" t="n">
        <v>0</v>
      </c>
      <c r="P4722" t="n">
        <v>0</v>
      </c>
      <c r="Q4722" t="n">
        <v>0</v>
      </c>
      <c r="R4722" s="2" t="inlineStr"/>
    </row>
    <row r="4723" ht="15" customHeight="1">
      <c r="A4723" t="inlineStr">
        <is>
          <t>A 48974-2025</t>
        </is>
      </c>
      <c r="B4723" s="1" t="n">
        <v>45937</v>
      </c>
      <c r="C4723" s="1" t="n">
        <v>45962</v>
      </c>
      <c r="D4723" t="inlineStr">
        <is>
          <t>SKÅNE LÄN</t>
        </is>
      </c>
      <c r="E4723" t="inlineStr">
        <is>
          <t>BROMÖLLA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45420-2023</t>
        </is>
      </c>
      <c r="B4724" s="1" t="n">
        <v>45194.35973379629</v>
      </c>
      <c r="C4724" s="1" t="n">
        <v>45962</v>
      </c>
      <c r="D4724" t="inlineStr">
        <is>
          <t>SKÅNE LÄN</t>
        </is>
      </c>
      <c r="E4724" t="inlineStr">
        <is>
          <t>OSBY</t>
        </is>
      </c>
      <c r="G4724" t="n">
        <v>0.8</v>
      </c>
      <c r="H4724" t="n">
        <v>0</v>
      </c>
      <c r="I4724" t="n">
        <v>0</v>
      </c>
      <c r="J4724" t="n">
        <v>0</v>
      </c>
      <c r="K4724" t="n">
        <v>0</v>
      </c>
      <c r="L4724" t="n">
        <v>0</v>
      </c>
      <c r="M4724" t="n">
        <v>0</v>
      </c>
      <c r="N4724" t="n">
        <v>0</v>
      </c>
      <c r="O4724" t="n">
        <v>0</v>
      </c>
      <c r="P4724" t="n">
        <v>0</v>
      </c>
      <c r="Q4724" t="n">
        <v>0</v>
      </c>
      <c r="R4724" s="2" t="inlineStr"/>
    </row>
    <row r="4725" ht="15" customHeight="1">
      <c r="A4725" t="inlineStr">
        <is>
          <t>A 49428-2025</t>
        </is>
      </c>
      <c r="B4725" s="1" t="n">
        <v>45938.77130787037</v>
      </c>
      <c r="C4725" s="1" t="n">
        <v>45962</v>
      </c>
      <c r="D4725" t="inlineStr">
        <is>
          <t>SKÅNE LÄN</t>
        </is>
      </c>
      <c r="E4725" t="inlineStr">
        <is>
          <t>KRISTIANSTAD</t>
        </is>
      </c>
      <c r="G4725" t="n">
        <v>1</v>
      </c>
      <c r="H4725" t="n">
        <v>0</v>
      </c>
      <c r="I4725" t="n">
        <v>0</v>
      </c>
      <c r="J4725" t="n">
        <v>0</v>
      </c>
      <c r="K4725" t="n">
        <v>0</v>
      </c>
      <c r="L4725" t="n">
        <v>0</v>
      </c>
      <c r="M4725" t="n">
        <v>0</v>
      </c>
      <c r="N4725" t="n">
        <v>0</v>
      </c>
      <c r="O4725" t="n">
        <v>0</v>
      </c>
      <c r="P4725" t="n">
        <v>0</v>
      </c>
      <c r="Q4725" t="n">
        <v>0</v>
      </c>
      <c r="R4725" s="2" t="inlineStr"/>
    </row>
    <row r="4726" ht="15" customHeight="1">
      <c r="A4726" t="inlineStr">
        <is>
          <t>A 49630-2025</t>
        </is>
      </c>
      <c r="B4726" s="1" t="n">
        <v>45939.59577546296</v>
      </c>
      <c r="C4726" s="1" t="n">
        <v>45962</v>
      </c>
      <c r="D4726" t="inlineStr">
        <is>
          <t>SKÅNE LÄN</t>
        </is>
      </c>
      <c r="E4726" t="inlineStr">
        <is>
          <t>KRISTIANSTAD</t>
        </is>
      </c>
      <c r="G4726" t="n">
        <v>2.3</v>
      </c>
      <c r="H4726" t="n">
        <v>0</v>
      </c>
      <c r="I4726" t="n">
        <v>0</v>
      </c>
      <c r="J4726" t="n">
        <v>0</v>
      </c>
      <c r="K4726" t="n">
        <v>0</v>
      </c>
      <c r="L4726" t="n">
        <v>0</v>
      </c>
      <c r="M4726" t="n">
        <v>0</v>
      </c>
      <c r="N4726" t="n">
        <v>0</v>
      </c>
      <c r="O4726" t="n">
        <v>0</v>
      </c>
      <c r="P4726" t="n">
        <v>0</v>
      </c>
      <c r="Q4726" t="n">
        <v>0</v>
      </c>
      <c r="R4726" s="2" t="inlineStr"/>
    </row>
    <row r="4727" ht="15" customHeight="1">
      <c r="A4727" t="inlineStr">
        <is>
          <t>A 43808-2024</t>
        </is>
      </c>
      <c r="B4727" s="1" t="n">
        <v>45571</v>
      </c>
      <c r="C4727" s="1" t="n">
        <v>45962</v>
      </c>
      <c r="D4727" t="inlineStr">
        <is>
          <t>SKÅNE LÄN</t>
        </is>
      </c>
      <c r="E4727" t="inlineStr">
        <is>
          <t>ESLÖV</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13961-2023</t>
        </is>
      </c>
      <c r="B4728" s="1" t="n">
        <v>45008</v>
      </c>
      <c r="C4728" s="1" t="n">
        <v>45962</v>
      </c>
      <c r="D4728" t="inlineStr">
        <is>
          <t>SKÅNE LÄN</t>
        </is>
      </c>
      <c r="E4728" t="inlineStr">
        <is>
          <t>HÄSSLEHOLM</t>
        </is>
      </c>
      <c r="G4728" t="n">
        <v>3.8</v>
      </c>
      <c r="H4728" t="n">
        <v>0</v>
      </c>
      <c r="I4728" t="n">
        <v>0</v>
      </c>
      <c r="J4728" t="n">
        <v>0</v>
      </c>
      <c r="K4728" t="n">
        <v>0</v>
      </c>
      <c r="L4728" t="n">
        <v>0</v>
      </c>
      <c r="M4728" t="n">
        <v>0</v>
      </c>
      <c r="N4728" t="n">
        <v>0</v>
      </c>
      <c r="O4728" t="n">
        <v>0</v>
      </c>
      <c r="P4728" t="n">
        <v>0</v>
      </c>
      <c r="Q4728" t="n">
        <v>0</v>
      </c>
      <c r="R4728" s="2" t="inlineStr"/>
    </row>
    <row r="4729" ht="15" customHeight="1">
      <c r="A4729" t="inlineStr">
        <is>
          <t>A 43736-2023</t>
        </is>
      </c>
      <c r="B4729" s="1" t="n">
        <v>45182</v>
      </c>
      <c r="C4729" s="1" t="n">
        <v>45962</v>
      </c>
      <c r="D4729" t="inlineStr">
        <is>
          <t>SKÅNE LÄN</t>
        </is>
      </c>
      <c r="E4729" t="inlineStr">
        <is>
          <t>SVALÖV</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7565-2023</t>
        </is>
      </c>
      <c r="B4730" s="1" t="n">
        <v>44972.35990740741</v>
      </c>
      <c r="C4730" s="1" t="n">
        <v>45962</v>
      </c>
      <c r="D4730" t="inlineStr">
        <is>
          <t>SKÅNE LÄN</t>
        </is>
      </c>
      <c r="E4730" t="inlineStr">
        <is>
          <t>KRISTIANSTAD</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42588-2023</t>
        </is>
      </c>
      <c r="B4731" s="1" t="n">
        <v>45176</v>
      </c>
      <c r="C4731" s="1" t="n">
        <v>45962</v>
      </c>
      <c r="D4731" t="inlineStr">
        <is>
          <t>SKÅNE LÄN</t>
        </is>
      </c>
      <c r="E4731" t="inlineStr">
        <is>
          <t>SVALÖV</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7581-2023</t>
        </is>
      </c>
      <c r="B4732" s="1" t="n">
        <v>44972.39556712963</v>
      </c>
      <c r="C4732" s="1" t="n">
        <v>45962</v>
      </c>
      <c r="D4732" t="inlineStr">
        <is>
          <t>SKÅNE LÄN</t>
        </is>
      </c>
      <c r="E4732" t="inlineStr">
        <is>
          <t>HÄSSLEHOLM</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48191-2021</t>
        </is>
      </c>
      <c r="B4733" s="1" t="n">
        <v>44449</v>
      </c>
      <c r="C4733" s="1" t="n">
        <v>45962</v>
      </c>
      <c r="D4733" t="inlineStr">
        <is>
          <t>SKÅNE LÄN</t>
        </is>
      </c>
      <c r="E4733" t="inlineStr">
        <is>
          <t>HÄSSLEHOLM</t>
        </is>
      </c>
      <c r="G4733" t="n">
        <v>6</v>
      </c>
      <c r="H4733" t="n">
        <v>0</v>
      </c>
      <c r="I4733" t="n">
        <v>0</v>
      </c>
      <c r="J4733" t="n">
        <v>0</v>
      </c>
      <c r="K4733" t="n">
        <v>0</v>
      </c>
      <c r="L4733" t="n">
        <v>0</v>
      </c>
      <c r="M4733" t="n">
        <v>0</v>
      </c>
      <c r="N4733" t="n">
        <v>0</v>
      </c>
      <c r="O4733" t="n">
        <v>0</v>
      </c>
      <c r="P4733" t="n">
        <v>0</v>
      </c>
      <c r="Q4733" t="n">
        <v>0</v>
      </c>
      <c r="R4733" s="2" t="inlineStr"/>
    </row>
    <row r="4734" ht="15" customHeight="1">
      <c r="A4734" t="inlineStr">
        <is>
          <t>A 1421-2024</t>
        </is>
      </c>
      <c r="B4734" s="1" t="n">
        <v>45303</v>
      </c>
      <c r="C4734" s="1" t="n">
        <v>45962</v>
      </c>
      <c r="D4734" t="inlineStr">
        <is>
          <t>SKÅNE LÄN</t>
        </is>
      </c>
      <c r="E4734" t="inlineStr">
        <is>
          <t>KRISTIANSTAD</t>
        </is>
      </c>
      <c r="F4734" t="inlineStr">
        <is>
          <t>Övriga Aktiebolag</t>
        </is>
      </c>
      <c r="G4734" t="n">
        <v>19.7</v>
      </c>
      <c r="H4734" t="n">
        <v>0</v>
      </c>
      <c r="I4734" t="n">
        <v>0</v>
      </c>
      <c r="J4734" t="n">
        <v>0</v>
      </c>
      <c r="K4734" t="n">
        <v>0</v>
      </c>
      <c r="L4734" t="n">
        <v>0</v>
      </c>
      <c r="M4734" t="n">
        <v>0</v>
      </c>
      <c r="N4734" t="n">
        <v>0</v>
      </c>
      <c r="O4734" t="n">
        <v>0</v>
      </c>
      <c r="P4734" t="n">
        <v>0</v>
      </c>
      <c r="Q4734" t="n">
        <v>0</v>
      </c>
      <c r="R4734" s="2" t="inlineStr"/>
    </row>
    <row r="4735" ht="15" customHeight="1">
      <c r="A4735" t="inlineStr">
        <is>
          <t>A 23976-2024</t>
        </is>
      </c>
      <c r="B4735" s="1" t="n">
        <v>45456.30621527778</v>
      </c>
      <c r="C4735" s="1" t="n">
        <v>45962</v>
      </c>
      <c r="D4735" t="inlineStr">
        <is>
          <t>SKÅNE LÄN</t>
        </is>
      </c>
      <c r="E4735" t="inlineStr">
        <is>
          <t>ÄNGELHOLM</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49561-2025</t>
        </is>
      </c>
      <c r="B4736" s="1" t="n">
        <v>45939.46443287037</v>
      </c>
      <c r="C4736" s="1" t="n">
        <v>45962</v>
      </c>
      <c r="D4736" t="inlineStr">
        <is>
          <t>SKÅNE LÄN</t>
        </is>
      </c>
      <c r="E4736" t="inlineStr">
        <is>
          <t>KRISTIANSTAD</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29874-2023</t>
        </is>
      </c>
      <c r="B4737" s="1" t="n">
        <v>45107</v>
      </c>
      <c r="C4737" s="1" t="n">
        <v>45962</v>
      </c>
      <c r="D4737" t="inlineStr">
        <is>
          <t>SKÅNE LÄN</t>
        </is>
      </c>
      <c r="E4737" t="inlineStr">
        <is>
          <t>PERSTORP</t>
        </is>
      </c>
      <c r="G4737" t="n">
        <v>3.1</v>
      </c>
      <c r="H4737" t="n">
        <v>0</v>
      </c>
      <c r="I4737" t="n">
        <v>0</v>
      </c>
      <c r="J4737" t="n">
        <v>0</v>
      </c>
      <c r="K4737" t="n">
        <v>0</v>
      </c>
      <c r="L4737" t="n">
        <v>0</v>
      </c>
      <c r="M4737" t="n">
        <v>0</v>
      </c>
      <c r="N4737" t="n">
        <v>0</v>
      </c>
      <c r="O4737" t="n">
        <v>0</v>
      </c>
      <c r="P4737" t="n">
        <v>0</v>
      </c>
      <c r="Q4737" t="n">
        <v>0</v>
      </c>
      <c r="R4737" s="2" t="inlineStr"/>
    </row>
    <row r="4738" ht="15" customHeight="1">
      <c r="A4738" t="inlineStr">
        <is>
          <t>A 22406-2024</t>
        </is>
      </c>
      <c r="B4738" s="1" t="n">
        <v>45446</v>
      </c>
      <c r="C4738" s="1" t="n">
        <v>45962</v>
      </c>
      <c r="D4738" t="inlineStr">
        <is>
          <t>SKÅNE LÄN</t>
        </is>
      </c>
      <c r="E4738" t="inlineStr">
        <is>
          <t>ÖRKELLJUNGA</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26179-2023</t>
        </is>
      </c>
      <c r="B4739" s="1" t="n">
        <v>45091.52637731482</v>
      </c>
      <c r="C4739" s="1" t="n">
        <v>45962</v>
      </c>
      <c r="D4739" t="inlineStr">
        <is>
          <t>SKÅNE LÄN</t>
        </is>
      </c>
      <c r="E4739" t="inlineStr">
        <is>
          <t>ÖRKELLJUNGA</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5282-2023</t>
        </is>
      </c>
      <c r="B4740" s="1" t="n">
        <v>44959.50471064815</v>
      </c>
      <c r="C4740" s="1" t="n">
        <v>45962</v>
      </c>
      <c r="D4740" t="inlineStr">
        <is>
          <t>SKÅNE LÄN</t>
        </is>
      </c>
      <c r="E4740" t="inlineStr">
        <is>
          <t>HÄSSLEHOLM</t>
        </is>
      </c>
      <c r="G4740" t="n">
        <v>0.9</v>
      </c>
      <c r="H4740" t="n">
        <v>0</v>
      </c>
      <c r="I4740" t="n">
        <v>0</v>
      </c>
      <c r="J4740" t="n">
        <v>0</v>
      </c>
      <c r="K4740" t="n">
        <v>0</v>
      </c>
      <c r="L4740" t="n">
        <v>0</v>
      </c>
      <c r="M4740" t="n">
        <v>0</v>
      </c>
      <c r="N4740" t="n">
        <v>0</v>
      </c>
      <c r="O4740" t="n">
        <v>0</v>
      </c>
      <c r="P4740" t="n">
        <v>0</v>
      </c>
      <c r="Q4740" t="n">
        <v>0</v>
      </c>
      <c r="R4740" s="2" t="inlineStr"/>
    </row>
    <row r="4741" ht="15" customHeight="1">
      <c r="A4741" t="inlineStr">
        <is>
          <t>A 49386-2025</t>
        </is>
      </c>
      <c r="B4741" s="1" t="n">
        <v>45938.64427083333</v>
      </c>
      <c r="C4741" s="1" t="n">
        <v>45962</v>
      </c>
      <c r="D4741" t="inlineStr">
        <is>
          <t>SKÅNE LÄN</t>
        </is>
      </c>
      <c r="E4741" t="inlineStr">
        <is>
          <t>HÖRBY</t>
        </is>
      </c>
      <c r="F4741" t="inlineStr">
        <is>
          <t>Sveaskog</t>
        </is>
      </c>
      <c r="G4741" t="n">
        <v>7</v>
      </c>
      <c r="H4741" t="n">
        <v>0</v>
      </c>
      <c r="I4741" t="n">
        <v>0</v>
      </c>
      <c r="J4741" t="n">
        <v>0</v>
      </c>
      <c r="K4741" t="n">
        <v>0</v>
      </c>
      <c r="L4741" t="n">
        <v>0</v>
      </c>
      <c r="M4741" t="n">
        <v>0</v>
      </c>
      <c r="N4741" t="n">
        <v>0</v>
      </c>
      <c r="O4741" t="n">
        <v>0</v>
      </c>
      <c r="P4741" t="n">
        <v>0</v>
      </c>
      <c r="Q4741" t="n">
        <v>0</v>
      </c>
      <c r="R4741" s="2" t="inlineStr"/>
    </row>
    <row r="4742" ht="15" customHeight="1">
      <c r="A4742" t="inlineStr">
        <is>
          <t>A 37082-2024</t>
        </is>
      </c>
      <c r="B4742" s="1" t="n">
        <v>45539</v>
      </c>
      <c r="C4742" s="1" t="n">
        <v>45962</v>
      </c>
      <c r="D4742" t="inlineStr">
        <is>
          <t>SKÅNE LÄN</t>
        </is>
      </c>
      <c r="E4742" t="inlineStr">
        <is>
          <t>HÖÖR</t>
        </is>
      </c>
      <c r="G4742" t="n">
        <v>0.8</v>
      </c>
      <c r="H4742" t="n">
        <v>0</v>
      </c>
      <c r="I4742" t="n">
        <v>0</v>
      </c>
      <c r="J4742" t="n">
        <v>0</v>
      </c>
      <c r="K4742" t="n">
        <v>0</v>
      </c>
      <c r="L4742" t="n">
        <v>0</v>
      </c>
      <c r="M4742" t="n">
        <v>0</v>
      </c>
      <c r="N4742" t="n">
        <v>0</v>
      </c>
      <c r="O4742" t="n">
        <v>0</v>
      </c>
      <c r="P4742" t="n">
        <v>0</v>
      </c>
      <c r="Q4742" t="n">
        <v>0</v>
      </c>
      <c r="R4742" s="2" t="inlineStr"/>
    </row>
    <row r="4743" ht="15" customHeight="1">
      <c r="A4743" t="inlineStr">
        <is>
          <t>A 13255-2021</t>
        </is>
      </c>
      <c r="B4743" s="1" t="n">
        <v>44272</v>
      </c>
      <c r="C4743" s="1" t="n">
        <v>45962</v>
      </c>
      <c r="D4743" t="inlineStr">
        <is>
          <t>SKÅNE LÄN</t>
        </is>
      </c>
      <c r="E4743" t="inlineStr">
        <is>
          <t>KRISTIANSTAD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15111-2023</t>
        </is>
      </c>
      <c r="B4744" s="1" t="n">
        <v>45015</v>
      </c>
      <c r="C4744" s="1" t="n">
        <v>45962</v>
      </c>
      <c r="D4744" t="inlineStr">
        <is>
          <t>SKÅNE LÄN</t>
        </is>
      </c>
      <c r="E4744" t="inlineStr">
        <is>
          <t>KRISTIANSTAD</t>
        </is>
      </c>
      <c r="F4744" t="inlineStr">
        <is>
          <t>Kyrkan</t>
        </is>
      </c>
      <c r="G4744" t="n">
        <v>5.9</v>
      </c>
      <c r="H4744" t="n">
        <v>0</v>
      </c>
      <c r="I4744" t="n">
        <v>0</v>
      </c>
      <c r="J4744" t="n">
        <v>0</v>
      </c>
      <c r="K4744" t="n">
        <v>0</v>
      </c>
      <c r="L4744" t="n">
        <v>0</v>
      </c>
      <c r="M4744" t="n">
        <v>0</v>
      </c>
      <c r="N4744" t="n">
        <v>0</v>
      </c>
      <c r="O4744" t="n">
        <v>0</v>
      </c>
      <c r="P4744" t="n">
        <v>0</v>
      </c>
      <c r="Q4744" t="n">
        <v>0</v>
      </c>
      <c r="R4744" s="2" t="inlineStr"/>
    </row>
    <row r="4745" ht="15" customHeight="1">
      <c r="A4745" t="inlineStr">
        <is>
          <t>A 15157-2023</t>
        </is>
      </c>
      <c r="B4745" s="1" t="n">
        <v>45016</v>
      </c>
      <c r="C4745" s="1" t="n">
        <v>45962</v>
      </c>
      <c r="D4745" t="inlineStr">
        <is>
          <t>SKÅNE LÄN</t>
        </is>
      </c>
      <c r="E4745" t="inlineStr">
        <is>
          <t>SVALÖV</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52548-2023</t>
        </is>
      </c>
      <c r="B4746" s="1" t="n">
        <v>45218</v>
      </c>
      <c r="C4746" s="1" t="n">
        <v>45962</v>
      </c>
      <c r="D4746" t="inlineStr">
        <is>
          <t>SKÅNE LÄN</t>
        </is>
      </c>
      <c r="E4746" t="inlineStr">
        <is>
          <t>HÄSSLEHOLM</t>
        </is>
      </c>
      <c r="G4746" t="n">
        <v>0.8</v>
      </c>
      <c r="H4746" t="n">
        <v>0</v>
      </c>
      <c r="I4746" t="n">
        <v>0</v>
      </c>
      <c r="J4746" t="n">
        <v>0</v>
      </c>
      <c r="K4746" t="n">
        <v>0</v>
      </c>
      <c r="L4746" t="n">
        <v>0</v>
      </c>
      <c r="M4746" t="n">
        <v>0</v>
      </c>
      <c r="N4746" t="n">
        <v>0</v>
      </c>
      <c r="O4746" t="n">
        <v>0</v>
      </c>
      <c r="P4746" t="n">
        <v>0</v>
      </c>
      <c r="Q4746" t="n">
        <v>0</v>
      </c>
      <c r="R4746" s="2" t="inlineStr"/>
    </row>
    <row r="4747" ht="15" customHeight="1">
      <c r="A4747" t="inlineStr">
        <is>
          <t>A 52575-2023</t>
        </is>
      </c>
      <c r="B4747" s="1" t="n">
        <v>45219</v>
      </c>
      <c r="C4747" s="1" t="n">
        <v>45962</v>
      </c>
      <c r="D4747" t="inlineStr">
        <is>
          <t>SKÅNE LÄN</t>
        </is>
      </c>
      <c r="E4747" t="inlineStr">
        <is>
          <t>PERSTORP</t>
        </is>
      </c>
      <c r="F4747" t="inlineStr">
        <is>
          <t>Övriga Aktiebolag</t>
        </is>
      </c>
      <c r="G4747" t="n">
        <v>10.2</v>
      </c>
      <c r="H4747" t="n">
        <v>0</v>
      </c>
      <c r="I4747" t="n">
        <v>0</v>
      </c>
      <c r="J4747" t="n">
        <v>0</v>
      </c>
      <c r="K4747" t="n">
        <v>0</v>
      </c>
      <c r="L4747" t="n">
        <v>0</v>
      </c>
      <c r="M4747" t="n">
        <v>0</v>
      </c>
      <c r="N4747" t="n">
        <v>0</v>
      </c>
      <c r="O4747" t="n">
        <v>0</v>
      </c>
      <c r="P4747" t="n">
        <v>0</v>
      </c>
      <c r="Q4747" t="n">
        <v>0</v>
      </c>
      <c r="R4747" s="2" t="inlineStr"/>
    </row>
    <row r="4748" ht="15" customHeight="1">
      <c r="A4748" t="inlineStr">
        <is>
          <t>A 52583-2023</t>
        </is>
      </c>
      <c r="B4748" s="1" t="n">
        <v>45219</v>
      </c>
      <c r="C4748" s="1" t="n">
        <v>45962</v>
      </c>
      <c r="D4748" t="inlineStr">
        <is>
          <t>SKÅNE LÄN</t>
        </is>
      </c>
      <c r="E4748" t="inlineStr">
        <is>
          <t>PERSTORP</t>
        </is>
      </c>
      <c r="F4748" t="inlineStr">
        <is>
          <t>Övriga Aktiebolag</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49564-2025</t>
        </is>
      </c>
      <c r="B4749" s="1" t="n">
        <v>45939.46699074074</v>
      </c>
      <c r="C4749" s="1" t="n">
        <v>45962</v>
      </c>
      <c r="D4749" t="inlineStr">
        <is>
          <t>SKÅNE LÄN</t>
        </is>
      </c>
      <c r="E4749" t="inlineStr">
        <is>
          <t>KRISTIANSTAD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27113-2022</t>
        </is>
      </c>
      <c r="B4750" s="1" t="n">
        <v>44741</v>
      </c>
      <c r="C4750" s="1" t="n">
        <v>45962</v>
      </c>
      <c r="D4750" t="inlineStr">
        <is>
          <t>SKÅNE LÄN</t>
        </is>
      </c>
      <c r="E4750" t="inlineStr">
        <is>
          <t>SVEDALA</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9898-2025</t>
        </is>
      </c>
      <c r="B4751" s="1" t="n">
        <v>45716.7922800926</v>
      </c>
      <c r="C4751" s="1" t="n">
        <v>45962</v>
      </c>
      <c r="D4751" t="inlineStr">
        <is>
          <t>SKÅNE LÄN</t>
        </is>
      </c>
      <c r="E4751" t="inlineStr">
        <is>
          <t>KRISTIANSTAD</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12503-2022</t>
        </is>
      </c>
      <c r="B4752" s="1" t="n">
        <v>44638</v>
      </c>
      <c r="C4752" s="1" t="n">
        <v>45962</v>
      </c>
      <c r="D4752" t="inlineStr">
        <is>
          <t>SKÅNE LÄN</t>
        </is>
      </c>
      <c r="E4752" t="inlineStr">
        <is>
          <t>HÄSSLEHOLM</t>
        </is>
      </c>
      <c r="G4752" t="n">
        <v>1.3</v>
      </c>
      <c r="H4752" t="n">
        <v>0</v>
      </c>
      <c r="I4752" t="n">
        <v>0</v>
      </c>
      <c r="J4752" t="n">
        <v>0</v>
      </c>
      <c r="K4752" t="n">
        <v>0</v>
      </c>
      <c r="L4752" t="n">
        <v>0</v>
      </c>
      <c r="M4752" t="n">
        <v>0</v>
      </c>
      <c r="N4752" t="n">
        <v>0</v>
      </c>
      <c r="O4752" t="n">
        <v>0</v>
      </c>
      <c r="P4752" t="n">
        <v>0</v>
      </c>
      <c r="Q4752" t="n">
        <v>0</v>
      </c>
      <c r="R4752" s="2" t="inlineStr"/>
    </row>
    <row r="4753" ht="15" customHeight="1">
      <c r="A4753" t="inlineStr">
        <is>
          <t>A 49543-2025</t>
        </is>
      </c>
      <c r="B4753" s="1" t="n">
        <v>45939.42862268518</v>
      </c>
      <c r="C4753" s="1" t="n">
        <v>45962</v>
      </c>
      <c r="D4753" t="inlineStr">
        <is>
          <t>SKÅNE LÄN</t>
        </is>
      </c>
      <c r="E4753" t="inlineStr">
        <is>
          <t>YSTAD</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49552-2025</t>
        </is>
      </c>
      <c r="B4754" s="1" t="n">
        <v>45939.44630787037</v>
      </c>
      <c r="C4754" s="1" t="n">
        <v>45962</v>
      </c>
      <c r="D4754" t="inlineStr">
        <is>
          <t>SKÅNE LÄN</t>
        </is>
      </c>
      <c r="E4754" t="inlineStr">
        <is>
          <t>KRISTIANSTAD</t>
        </is>
      </c>
      <c r="G4754" t="n">
        <v>1.8</v>
      </c>
      <c r="H4754" t="n">
        <v>0</v>
      </c>
      <c r="I4754" t="n">
        <v>0</v>
      </c>
      <c r="J4754" t="n">
        <v>0</v>
      </c>
      <c r="K4754" t="n">
        <v>0</v>
      </c>
      <c r="L4754" t="n">
        <v>0</v>
      </c>
      <c r="M4754" t="n">
        <v>0</v>
      </c>
      <c r="N4754" t="n">
        <v>0</v>
      </c>
      <c r="O4754" t="n">
        <v>0</v>
      </c>
      <c r="P4754" t="n">
        <v>0</v>
      </c>
      <c r="Q4754" t="n">
        <v>0</v>
      </c>
      <c r="R4754" s="2" t="inlineStr"/>
    </row>
    <row r="4755" ht="15" customHeight="1">
      <c r="A4755" t="inlineStr">
        <is>
          <t>A 49394-2025</t>
        </is>
      </c>
      <c r="B4755" s="1" t="n">
        <v>45938.65101851852</v>
      </c>
      <c r="C4755" s="1" t="n">
        <v>45962</v>
      </c>
      <c r="D4755" t="inlineStr">
        <is>
          <t>SKÅNE LÄN</t>
        </is>
      </c>
      <c r="E4755" t="inlineStr">
        <is>
          <t>KLIPPAN</t>
        </is>
      </c>
      <c r="F4755" t="inlineStr">
        <is>
          <t>Sveaskog</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40500-2025</t>
        </is>
      </c>
      <c r="B4756" s="1" t="n">
        <v>45896</v>
      </c>
      <c r="C4756" s="1" t="n">
        <v>45962</v>
      </c>
      <c r="D4756" t="inlineStr">
        <is>
          <t>SKÅNE LÄN</t>
        </is>
      </c>
      <c r="E4756" t="inlineStr">
        <is>
          <t>KRISTIANSTAD</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3542-2025</t>
        </is>
      </c>
      <c r="B4757" s="1" t="n">
        <v>45680</v>
      </c>
      <c r="C4757" s="1" t="n">
        <v>45962</v>
      </c>
      <c r="D4757" t="inlineStr">
        <is>
          <t>SKÅNE LÄN</t>
        </is>
      </c>
      <c r="E4757" t="inlineStr">
        <is>
          <t>HÖRBY</t>
        </is>
      </c>
      <c r="F4757" t="inlineStr">
        <is>
          <t>Kyrkan</t>
        </is>
      </c>
      <c r="G4757" t="n">
        <v>1.4</v>
      </c>
      <c r="H4757" t="n">
        <v>0</v>
      </c>
      <c r="I4757" t="n">
        <v>0</v>
      </c>
      <c r="J4757" t="n">
        <v>0</v>
      </c>
      <c r="K4757" t="n">
        <v>0</v>
      </c>
      <c r="L4757" t="n">
        <v>0</v>
      </c>
      <c r="M4757" t="n">
        <v>0</v>
      </c>
      <c r="N4757" t="n">
        <v>0</v>
      </c>
      <c r="O4757" t="n">
        <v>0</v>
      </c>
      <c r="P4757" t="n">
        <v>0</v>
      </c>
      <c r="Q4757" t="n">
        <v>0</v>
      </c>
      <c r="R4757" s="2" t="inlineStr"/>
    </row>
    <row r="4758" ht="15" customHeight="1">
      <c r="A4758" t="inlineStr">
        <is>
          <t>A 33826-2021</t>
        </is>
      </c>
      <c r="B4758" s="1" t="n">
        <v>44378</v>
      </c>
      <c r="C4758" s="1" t="n">
        <v>45962</v>
      </c>
      <c r="D4758" t="inlineStr">
        <is>
          <t>SKÅNE LÄN</t>
        </is>
      </c>
      <c r="E4758" t="inlineStr">
        <is>
          <t>ÖSTRA GÖINGE</t>
        </is>
      </c>
      <c r="G4758" t="n">
        <v>9.199999999999999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13228-2024</t>
        </is>
      </c>
      <c r="B4759" s="1" t="n">
        <v>45386</v>
      </c>
      <c r="C4759" s="1" t="n">
        <v>45962</v>
      </c>
      <c r="D4759" t="inlineStr">
        <is>
          <t>SKÅNE LÄN</t>
        </is>
      </c>
      <c r="E4759" t="inlineStr">
        <is>
          <t>HÖRBY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17673-2023</t>
        </is>
      </c>
      <c r="B4760" s="1" t="n">
        <v>45035</v>
      </c>
      <c r="C4760" s="1" t="n">
        <v>45962</v>
      </c>
      <c r="D4760" t="inlineStr">
        <is>
          <t>SKÅNE LÄN</t>
        </is>
      </c>
      <c r="E4760" t="inlineStr">
        <is>
          <t>OSBY</t>
        </is>
      </c>
      <c r="G4760" t="n">
        <v>3.8</v>
      </c>
      <c r="H4760" t="n">
        <v>0</v>
      </c>
      <c r="I4760" t="n">
        <v>0</v>
      </c>
      <c r="J4760" t="n">
        <v>0</v>
      </c>
      <c r="K4760" t="n">
        <v>0</v>
      </c>
      <c r="L4760" t="n">
        <v>0</v>
      </c>
      <c r="M4760" t="n">
        <v>0</v>
      </c>
      <c r="N4760" t="n">
        <v>0</v>
      </c>
      <c r="O4760" t="n">
        <v>0</v>
      </c>
      <c r="P4760" t="n">
        <v>0</v>
      </c>
      <c r="Q4760" t="n">
        <v>0</v>
      </c>
      <c r="R4760" s="2" t="inlineStr"/>
    </row>
    <row r="4761" ht="15" customHeight="1">
      <c r="A4761" t="inlineStr">
        <is>
          <t>A 50370-2024</t>
        </is>
      </c>
      <c r="B4761" s="1" t="n">
        <v>45601</v>
      </c>
      <c r="C4761" s="1" t="n">
        <v>45962</v>
      </c>
      <c r="D4761" t="inlineStr">
        <is>
          <t>SKÅNE LÄN</t>
        </is>
      </c>
      <c r="E4761" t="inlineStr">
        <is>
          <t>ÖSTRA GÖINGE</t>
        </is>
      </c>
      <c r="G4761" t="n">
        <v>1.1</v>
      </c>
      <c r="H4761" t="n">
        <v>0</v>
      </c>
      <c r="I4761" t="n">
        <v>0</v>
      </c>
      <c r="J4761" t="n">
        <v>0</v>
      </c>
      <c r="K4761" t="n">
        <v>0</v>
      </c>
      <c r="L4761" t="n">
        <v>0</v>
      </c>
      <c r="M4761" t="n">
        <v>0</v>
      </c>
      <c r="N4761" t="n">
        <v>0</v>
      </c>
      <c r="O4761" t="n">
        <v>0</v>
      </c>
      <c r="P4761" t="n">
        <v>0</v>
      </c>
      <c r="Q4761" t="n">
        <v>0</v>
      </c>
      <c r="R4761" s="2" t="inlineStr"/>
    </row>
    <row r="4762" ht="15" customHeight="1">
      <c r="A4762" t="inlineStr">
        <is>
          <t>A 40278-2023</t>
        </is>
      </c>
      <c r="B4762" s="1" t="n">
        <v>45169</v>
      </c>
      <c r="C4762" s="1" t="n">
        <v>45962</v>
      </c>
      <c r="D4762" t="inlineStr">
        <is>
          <t>SKÅNE LÄN</t>
        </is>
      </c>
      <c r="E4762" t="inlineStr">
        <is>
          <t>ÄNGELHOLM</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49136-2025</t>
        </is>
      </c>
      <c r="B4763" s="1" t="n">
        <v>45938.01277777777</v>
      </c>
      <c r="C4763" s="1" t="n">
        <v>45962</v>
      </c>
      <c r="D4763" t="inlineStr">
        <is>
          <t>SKÅNE LÄN</t>
        </is>
      </c>
      <c r="E4763" t="inlineStr">
        <is>
          <t>HÄSSLEHOLM</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55292-2023</t>
        </is>
      </c>
      <c r="B4764" s="1" t="n">
        <v>45237</v>
      </c>
      <c r="C4764" s="1" t="n">
        <v>45962</v>
      </c>
      <c r="D4764" t="inlineStr">
        <is>
          <t>SKÅNE LÄN</t>
        </is>
      </c>
      <c r="E4764" t="inlineStr">
        <is>
          <t>OSBY</t>
        </is>
      </c>
      <c r="G4764" t="n">
        <v>8.300000000000001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9484-2023</t>
        </is>
      </c>
      <c r="B4765" s="1" t="n">
        <v>44981</v>
      </c>
      <c r="C4765" s="1" t="n">
        <v>45962</v>
      </c>
      <c r="D4765" t="inlineStr">
        <is>
          <t>SKÅNE LÄN</t>
        </is>
      </c>
      <c r="E4765" t="inlineStr">
        <is>
          <t>ESLÖV</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9485-2023</t>
        </is>
      </c>
      <c r="B4766" s="1" t="n">
        <v>44981.60901620371</v>
      </c>
      <c r="C4766" s="1" t="n">
        <v>45962</v>
      </c>
      <c r="D4766" t="inlineStr">
        <is>
          <t>SKÅNE LÄN</t>
        </is>
      </c>
      <c r="E4766" t="inlineStr">
        <is>
          <t>HÄSSLEHOLM</t>
        </is>
      </c>
      <c r="G4766" t="n">
        <v>0.7</v>
      </c>
      <c r="H4766" t="n">
        <v>0</v>
      </c>
      <c r="I4766" t="n">
        <v>0</v>
      </c>
      <c r="J4766" t="n">
        <v>0</v>
      </c>
      <c r="K4766" t="n">
        <v>0</v>
      </c>
      <c r="L4766" t="n">
        <v>0</v>
      </c>
      <c r="M4766" t="n">
        <v>0</v>
      </c>
      <c r="N4766" t="n">
        <v>0</v>
      </c>
      <c r="O4766" t="n">
        <v>0</v>
      </c>
      <c r="P4766" t="n">
        <v>0</v>
      </c>
      <c r="Q4766" t="n">
        <v>0</v>
      </c>
      <c r="R4766" s="2" t="inlineStr"/>
    </row>
    <row r="4767" ht="15" customHeight="1">
      <c r="A4767" t="inlineStr">
        <is>
          <t>A 9487-2023</t>
        </is>
      </c>
      <c r="B4767" s="1" t="n">
        <v>44981</v>
      </c>
      <c r="C4767" s="1" t="n">
        <v>45962</v>
      </c>
      <c r="D4767" t="inlineStr">
        <is>
          <t>SKÅNE LÄN</t>
        </is>
      </c>
      <c r="E4767" t="inlineStr">
        <is>
          <t>ESLÖV</t>
        </is>
      </c>
      <c r="G4767" t="n">
        <v>1.9</v>
      </c>
      <c r="H4767" t="n">
        <v>0</v>
      </c>
      <c r="I4767" t="n">
        <v>0</v>
      </c>
      <c r="J4767" t="n">
        <v>0</v>
      </c>
      <c r="K4767" t="n">
        <v>0</v>
      </c>
      <c r="L4767" t="n">
        <v>0</v>
      </c>
      <c r="M4767" t="n">
        <v>0</v>
      </c>
      <c r="N4767" t="n">
        <v>0</v>
      </c>
      <c r="O4767" t="n">
        <v>0</v>
      </c>
      <c r="P4767" t="n">
        <v>0</v>
      </c>
      <c r="Q4767" t="n">
        <v>0</v>
      </c>
      <c r="R4767" s="2" t="inlineStr"/>
    </row>
    <row r="4768" ht="15" customHeight="1">
      <c r="A4768" t="inlineStr">
        <is>
          <t>A 49536-2025</t>
        </is>
      </c>
      <c r="B4768" s="1" t="n">
        <v>45939.4221875</v>
      </c>
      <c r="C4768" s="1" t="n">
        <v>45962</v>
      </c>
      <c r="D4768" t="inlineStr">
        <is>
          <t>SKÅNE LÄN</t>
        </is>
      </c>
      <c r="E4768" t="inlineStr">
        <is>
          <t>YSTAD</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27967-2024</t>
        </is>
      </c>
      <c r="B4769" s="1" t="n">
        <v>45476.37760416666</v>
      </c>
      <c r="C4769" s="1" t="n">
        <v>45962</v>
      </c>
      <c r="D4769" t="inlineStr">
        <is>
          <t>SKÅNE LÄN</t>
        </is>
      </c>
      <c r="E4769" t="inlineStr">
        <is>
          <t>ÖRKELLJUNGA</t>
        </is>
      </c>
      <c r="G4769" t="n">
        <v>0.4</v>
      </c>
      <c r="H4769" t="n">
        <v>0</v>
      </c>
      <c r="I4769" t="n">
        <v>0</v>
      </c>
      <c r="J4769" t="n">
        <v>0</v>
      </c>
      <c r="K4769" t="n">
        <v>0</v>
      </c>
      <c r="L4769" t="n">
        <v>0</v>
      </c>
      <c r="M4769" t="n">
        <v>0</v>
      </c>
      <c r="N4769" t="n">
        <v>0</v>
      </c>
      <c r="O4769" t="n">
        <v>0</v>
      </c>
      <c r="P4769" t="n">
        <v>0</v>
      </c>
      <c r="Q4769" t="n">
        <v>0</v>
      </c>
      <c r="R4769" s="2" t="inlineStr"/>
    </row>
    <row r="4770" ht="15" customHeight="1">
      <c r="A4770" t="inlineStr">
        <is>
          <t>A 27979-2024</t>
        </is>
      </c>
      <c r="B4770" s="1" t="n">
        <v>45476</v>
      </c>
      <c r="C4770" s="1" t="n">
        <v>45962</v>
      </c>
      <c r="D4770" t="inlineStr">
        <is>
          <t>SKÅNE LÄN</t>
        </is>
      </c>
      <c r="E4770" t="inlineStr">
        <is>
          <t>KRISTIANSTAD</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49694-2025</t>
        </is>
      </c>
      <c r="B4771" s="1" t="n">
        <v>45939.67415509259</v>
      </c>
      <c r="C4771" s="1" t="n">
        <v>45962</v>
      </c>
      <c r="D4771" t="inlineStr">
        <is>
          <t>SKÅNE LÄN</t>
        </is>
      </c>
      <c r="E4771" t="inlineStr">
        <is>
          <t>OSBY</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2708-2021</t>
        </is>
      </c>
      <c r="B4772" s="1" t="n">
        <v>44215</v>
      </c>
      <c r="C4772" s="1" t="n">
        <v>45962</v>
      </c>
      <c r="D4772" t="inlineStr">
        <is>
          <t>SKÅNE LÄN</t>
        </is>
      </c>
      <c r="E4772" t="inlineStr">
        <is>
          <t>ÖSTRA GÖINGE</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2790-2021</t>
        </is>
      </c>
      <c r="B4773" s="1" t="n">
        <v>44215.67376157407</v>
      </c>
      <c r="C4773" s="1" t="n">
        <v>45962</v>
      </c>
      <c r="D4773" t="inlineStr">
        <is>
          <t>SKÅNE LÄN</t>
        </is>
      </c>
      <c r="E4773" t="inlineStr">
        <is>
          <t>ÖRKELLJUNGA</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54777-2022</t>
        </is>
      </c>
      <c r="B4774" s="1" t="n">
        <v>44883</v>
      </c>
      <c r="C4774" s="1" t="n">
        <v>45962</v>
      </c>
      <c r="D4774" t="inlineStr">
        <is>
          <t>SKÅNE LÄN</t>
        </is>
      </c>
      <c r="E4774" t="inlineStr">
        <is>
          <t>HÄSSLEHOLM</t>
        </is>
      </c>
      <c r="G4774" t="n">
        <v>1.7</v>
      </c>
      <c r="H4774" t="n">
        <v>0</v>
      </c>
      <c r="I4774" t="n">
        <v>0</v>
      </c>
      <c r="J4774" t="n">
        <v>0</v>
      </c>
      <c r="K4774" t="n">
        <v>0</v>
      </c>
      <c r="L4774" t="n">
        <v>0</v>
      </c>
      <c r="M4774" t="n">
        <v>0</v>
      </c>
      <c r="N4774" t="n">
        <v>0</v>
      </c>
      <c r="O4774" t="n">
        <v>0</v>
      </c>
      <c r="P4774" t="n">
        <v>0</v>
      </c>
      <c r="Q4774" t="n">
        <v>0</v>
      </c>
      <c r="R4774" s="2" t="inlineStr"/>
    </row>
    <row r="4775" ht="15" customHeight="1">
      <c r="A4775" t="inlineStr">
        <is>
          <t>A 39113-2025</t>
        </is>
      </c>
      <c r="B4775" s="1" t="n">
        <v>45888</v>
      </c>
      <c r="C4775" s="1" t="n">
        <v>45962</v>
      </c>
      <c r="D4775" t="inlineStr">
        <is>
          <t>SKÅNE LÄN</t>
        </is>
      </c>
      <c r="E4775" t="inlineStr">
        <is>
          <t>PERSTORP</t>
        </is>
      </c>
      <c r="G4775" t="n">
        <v>3.1</v>
      </c>
      <c r="H4775" t="n">
        <v>0</v>
      </c>
      <c r="I4775" t="n">
        <v>0</v>
      </c>
      <c r="J4775" t="n">
        <v>0</v>
      </c>
      <c r="K4775" t="n">
        <v>0</v>
      </c>
      <c r="L4775" t="n">
        <v>0</v>
      </c>
      <c r="M4775" t="n">
        <v>0</v>
      </c>
      <c r="N4775" t="n">
        <v>0</v>
      </c>
      <c r="O4775" t="n">
        <v>0</v>
      </c>
      <c r="P4775" t="n">
        <v>0</v>
      </c>
      <c r="Q4775" t="n">
        <v>0</v>
      </c>
      <c r="R4775" s="2" t="inlineStr"/>
    </row>
    <row r="4776" ht="15" customHeight="1">
      <c r="A4776" t="inlineStr">
        <is>
          <t>A 15998-2024</t>
        </is>
      </c>
      <c r="B4776" s="1" t="n">
        <v>45405</v>
      </c>
      <c r="C4776" s="1" t="n">
        <v>45962</v>
      </c>
      <c r="D4776" t="inlineStr">
        <is>
          <t>SKÅNE LÄN</t>
        </is>
      </c>
      <c r="E4776" t="inlineStr">
        <is>
          <t>HÖRBY</t>
        </is>
      </c>
      <c r="G4776" t="n">
        <v>0.4</v>
      </c>
      <c r="H4776" t="n">
        <v>0</v>
      </c>
      <c r="I4776" t="n">
        <v>0</v>
      </c>
      <c r="J4776" t="n">
        <v>0</v>
      </c>
      <c r="K4776" t="n">
        <v>0</v>
      </c>
      <c r="L4776" t="n">
        <v>0</v>
      </c>
      <c r="M4776" t="n">
        <v>0</v>
      </c>
      <c r="N4776" t="n">
        <v>0</v>
      </c>
      <c r="O4776" t="n">
        <v>0</v>
      </c>
      <c r="P4776" t="n">
        <v>0</v>
      </c>
      <c r="Q4776" t="n">
        <v>0</v>
      </c>
      <c r="R4776" s="2" t="inlineStr"/>
    </row>
    <row r="4777" ht="15" customHeight="1">
      <c r="A4777" t="inlineStr">
        <is>
          <t>A 16001-2024</t>
        </is>
      </c>
      <c r="B4777" s="1" t="n">
        <v>45405</v>
      </c>
      <c r="C4777" s="1" t="n">
        <v>45962</v>
      </c>
      <c r="D4777" t="inlineStr">
        <is>
          <t>SKÅNE LÄN</t>
        </is>
      </c>
      <c r="E4777" t="inlineStr">
        <is>
          <t>HÖRBY</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43855-2022</t>
        </is>
      </c>
      <c r="B4778" s="1" t="n">
        <v>44838</v>
      </c>
      <c r="C4778" s="1" t="n">
        <v>45962</v>
      </c>
      <c r="D4778" t="inlineStr">
        <is>
          <t>SKÅNE LÄN</t>
        </is>
      </c>
      <c r="E4778" t="inlineStr">
        <is>
          <t>KLIPPAN</t>
        </is>
      </c>
      <c r="F4778" t="inlineStr">
        <is>
          <t>Sveaskog</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61929-2023</t>
        </is>
      </c>
      <c r="B4779" s="1" t="n">
        <v>45266</v>
      </c>
      <c r="C4779" s="1" t="n">
        <v>45962</v>
      </c>
      <c r="D4779" t="inlineStr">
        <is>
          <t>SKÅNE LÄN</t>
        </is>
      </c>
      <c r="E4779" t="inlineStr">
        <is>
          <t>HÄSSLEHOLM</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13555-2025</t>
        </is>
      </c>
      <c r="B4780" s="1" t="n">
        <v>45736</v>
      </c>
      <c r="C4780" s="1" t="n">
        <v>45962</v>
      </c>
      <c r="D4780" t="inlineStr">
        <is>
          <t>SKÅNE LÄN</t>
        </is>
      </c>
      <c r="E4780" t="inlineStr">
        <is>
          <t>HÄSSLEHOLM</t>
        </is>
      </c>
      <c r="G4780" t="n">
        <v>1.1</v>
      </c>
      <c r="H4780" t="n">
        <v>0</v>
      </c>
      <c r="I4780" t="n">
        <v>0</v>
      </c>
      <c r="J4780" t="n">
        <v>0</v>
      </c>
      <c r="K4780" t="n">
        <v>0</v>
      </c>
      <c r="L4780" t="n">
        <v>0</v>
      </c>
      <c r="M4780" t="n">
        <v>0</v>
      </c>
      <c r="N4780" t="n">
        <v>0</v>
      </c>
      <c r="O4780" t="n">
        <v>0</v>
      </c>
      <c r="P4780" t="n">
        <v>0</v>
      </c>
      <c r="Q4780" t="n">
        <v>0</v>
      </c>
      <c r="R4780" s="2" t="inlineStr"/>
    </row>
    <row r="4781" ht="15" customHeight="1">
      <c r="A4781" t="inlineStr">
        <is>
          <t>A 31114-2024</t>
        </is>
      </c>
      <c r="B4781" s="1" t="n">
        <v>45502</v>
      </c>
      <c r="C4781" s="1" t="n">
        <v>45962</v>
      </c>
      <c r="D4781" t="inlineStr">
        <is>
          <t>SKÅNE LÄN</t>
        </is>
      </c>
      <c r="E4781" t="inlineStr">
        <is>
          <t>HÖRBY</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49303-2025</t>
        </is>
      </c>
      <c r="B4782" s="1" t="n">
        <v>45938.55403935185</v>
      </c>
      <c r="C4782" s="1" t="n">
        <v>45962</v>
      </c>
      <c r="D4782" t="inlineStr">
        <is>
          <t>SKÅNE LÄN</t>
        </is>
      </c>
      <c r="E4782" t="inlineStr">
        <is>
          <t>SIMRISHAMN</t>
        </is>
      </c>
      <c r="F4782" t="inlineStr">
        <is>
          <t>Övriga Aktiebolag</t>
        </is>
      </c>
      <c r="G4782" t="n">
        <v>4.5</v>
      </c>
      <c r="H4782" t="n">
        <v>0</v>
      </c>
      <c r="I4782" t="n">
        <v>0</v>
      </c>
      <c r="J4782" t="n">
        <v>0</v>
      </c>
      <c r="K4782" t="n">
        <v>0</v>
      </c>
      <c r="L4782" t="n">
        <v>0</v>
      </c>
      <c r="M4782" t="n">
        <v>0</v>
      </c>
      <c r="N4782" t="n">
        <v>0</v>
      </c>
      <c r="O4782" t="n">
        <v>0</v>
      </c>
      <c r="P4782" t="n">
        <v>0</v>
      </c>
      <c r="Q4782" t="n">
        <v>0</v>
      </c>
      <c r="R4782" s="2" t="inlineStr"/>
    </row>
    <row r="4783" ht="15" customHeight="1">
      <c r="A4783" t="inlineStr">
        <is>
          <t>A 40621-2025</t>
        </is>
      </c>
      <c r="B4783" s="1" t="n">
        <v>45896</v>
      </c>
      <c r="C4783" s="1" t="n">
        <v>45962</v>
      </c>
      <c r="D4783" t="inlineStr">
        <is>
          <t>SKÅNE LÄN</t>
        </is>
      </c>
      <c r="E4783" t="inlineStr">
        <is>
          <t>ÖSTRA GÖINGE</t>
        </is>
      </c>
      <c r="F4783" t="inlineStr">
        <is>
          <t>Kyrkan</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13804-2024</t>
        </is>
      </c>
      <c r="B4784" s="1" t="n">
        <v>45391</v>
      </c>
      <c r="C4784" s="1" t="n">
        <v>45962</v>
      </c>
      <c r="D4784" t="inlineStr">
        <is>
          <t>SKÅNE LÄN</t>
        </is>
      </c>
      <c r="E4784" t="inlineStr">
        <is>
          <t>HÖRBY</t>
        </is>
      </c>
      <c r="G4784" t="n">
        <v>0.5</v>
      </c>
      <c r="H4784" t="n">
        <v>0</v>
      </c>
      <c r="I4784" t="n">
        <v>0</v>
      </c>
      <c r="J4784" t="n">
        <v>0</v>
      </c>
      <c r="K4784" t="n">
        <v>0</v>
      </c>
      <c r="L4784" t="n">
        <v>0</v>
      </c>
      <c r="M4784" t="n">
        <v>0</v>
      </c>
      <c r="N4784" t="n">
        <v>0</v>
      </c>
      <c r="O4784" t="n">
        <v>0</v>
      </c>
      <c r="P4784" t="n">
        <v>0</v>
      </c>
      <c r="Q4784" t="n">
        <v>0</v>
      </c>
      <c r="R4784" s="2" t="inlineStr"/>
    </row>
    <row r="4785" ht="15" customHeight="1">
      <c r="A4785" t="inlineStr">
        <is>
          <t>A 49526-2025</t>
        </is>
      </c>
      <c r="B4785" s="1" t="n">
        <v>45939.40376157407</v>
      </c>
      <c r="C4785" s="1" t="n">
        <v>45962</v>
      </c>
      <c r="D4785" t="inlineStr">
        <is>
          <t>SKÅNE LÄN</t>
        </is>
      </c>
      <c r="E4785" t="inlineStr">
        <is>
          <t>OSBY</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52664-2023</t>
        </is>
      </c>
      <c r="B4786" s="1" t="n">
        <v>45225</v>
      </c>
      <c r="C4786" s="1" t="n">
        <v>45962</v>
      </c>
      <c r="D4786" t="inlineStr">
        <is>
          <t>SKÅNE LÄN</t>
        </is>
      </c>
      <c r="E4786" t="inlineStr">
        <is>
          <t>SVALÖV</t>
        </is>
      </c>
      <c r="G4786" t="n">
        <v>6.4</v>
      </c>
      <c r="H4786" t="n">
        <v>0</v>
      </c>
      <c r="I4786" t="n">
        <v>0</v>
      </c>
      <c r="J4786" t="n">
        <v>0</v>
      </c>
      <c r="K4786" t="n">
        <v>0</v>
      </c>
      <c r="L4786" t="n">
        <v>0</v>
      </c>
      <c r="M4786" t="n">
        <v>0</v>
      </c>
      <c r="N4786" t="n">
        <v>0</v>
      </c>
      <c r="O4786" t="n">
        <v>0</v>
      </c>
      <c r="P4786" t="n">
        <v>0</v>
      </c>
      <c r="Q4786" t="n">
        <v>0</v>
      </c>
      <c r="R4786" s="2" t="inlineStr"/>
    </row>
    <row r="4787" ht="15" customHeight="1">
      <c r="A4787" t="inlineStr">
        <is>
          <t>A 26837-2022</t>
        </is>
      </c>
      <c r="B4787" s="1" t="n">
        <v>44740.4811574074</v>
      </c>
      <c r="C4787" s="1" t="n">
        <v>45962</v>
      </c>
      <c r="D4787" t="inlineStr">
        <is>
          <t>SKÅNE LÄN</t>
        </is>
      </c>
      <c r="E4787" t="inlineStr">
        <is>
          <t>ÖRKELLJUNGA</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33064-2023</t>
        </is>
      </c>
      <c r="B4788" s="1" t="n">
        <v>45126</v>
      </c>
      <c r="C4788" s="1" t="n">
        <v>45962</v>
      </c>
      <c r="D4788" t="inlineStr">
        <is>
          <t>SKÅNE LÄN</t>
        </is>
      </c>
      <c r="E4788" t="inlineStr">
        <is>
          <t>OSBY</t>
        </is>
      </c>
      <c r="G4788" t="n">
        <v>0.8</v>
      </c>
      <c r="H4788" t="n">
        <v>0</v>
      </c>
      <c r="I4788" t="n">
        <v>0</v>
      </c>
      <c r="J4788" t="n">
        <v>0</v>
      </c>
      <c r="K4788" t="n">
        <v>0</v>
      </c>
      <c r="L4788" t="n">
        <v>0</v>
      </c>
      <c r="M4788" t="n">
        <v>0</v>
      </c>
      <c r="N4788" t="n">
        <v>0</v>
      </c>
      <c r="O4788" t="n">
        <v>0</v>
      </c>
      <c r="P4788" t="n">
        <v>0</v>
      </c>
      <c r="Q4788" t="n">
        <v>0</v>
      </c>
      <c r="R4788" s="2" t="inlineStr"/>
      <c r="U4788">
        <f>HYPERLINK("https://klasma.github.io/Logging_1273/knärot/A 33064-2023 karta knärot.png", "A 33064-2023")</f>
        <v/>
      </c>
      <c r="V4788">
        <f>HYPERLINK("https://klasma.github.io/Logging_1273/klagomål/A 33064-2023 FSC-klagomål.docx", "A 33064-2023")</f>
        <v/>
      </c>
      <c r="W4788">
        <f>HYPERLINK("https://klasma.github.io/Logging_1273/klagomålsmail/A 33064-2023 FSC-klagomål mail.docx", "A 33064-2023")</f>
        <v/>
      </c>
      <c r="X4788">
        <f>HYPERLINK("https://klasma.github.io/Logging_1273/tillsyn/A 33064-2023 tillsynsbegäran.docx", "A 33064-2023")</f>
        <v/>
      </c>
      <c r="Y4788">
        <f>HYPERLINK("https://klasma.github.io/Logging_1273/tillsynsmail/A 33064-2023 tillsynsbegäran mail.docx", "A 33064-2023")</f>
        <v/>
      </c>
    </row>
    <row r="4789" ht="15" customHeight="1">
      <c r="A4789" t="inlineStr">
        <is>
          <t>A 46253-2024</t>
        </is>
      </c>
      <c r="B4789" s="1" t="n">
        <v>45581</v>
      </c>
      <c r="C4789" s="1" t="n">
        <v>45962</v>
      </c>
      <c r="D4789" t="inlineStr">
        <is>
          <t>SKÅNE LÄN</t>
        </is>
      </c>
      <c r="E4789" t="inlineStr">
        <is>
          <t>KLIPPAN</t>
        </is>
      </c>
      <c r="F4789" t="inlineStr">
        <is>
          <t>Sveaskog</t>
        </is>
      </c>
      <c r="G4789" t="n">
        <v>9.300000000000001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49297-2023</t>
        </is>
      </c>
      <c r="B4790" s="1" t="n">
        <v>45210</v>
      </c>
      <c r="C4790" s="1" t="n">
        <v>45962</v>
      </c>
      <c r="D4790" t="inlineStr">
        <is>
          <t>SKÅNE LÄN</t>
        </is>
      </c>
      <c r="E4790" t="inlineStr">
        <is>
          <t>LUND</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49298-2023</t>
        </is>
      </c>
      <c r="B4791" s="1" t="n">
        <v>45210.86210648148</v>
      </c>
      <c r="C4791" s="1" t="n">
        <v>45962</v>
      </c>
      <c r="D4791" t="inlineStr">
        <is>
          <t>SKÅNE LÄN</t>
        </is>
      </c>
      <c r="E4791" t="inlineStr">
        <is>
          <t>SJÖBO</t>
        </is>
      </c>
      <c r="G4791" t="n">
        <v>0.1</v>
      </c>
      <c r="H4791" t="n">
        <v>0</v>
      </c>
      <c r="I4791" t="n">
        <v>0</v>
      </c>
      <c r="J4791" t="n">
        <v>0</v>
      </c>
      <c r="K4791" t="n">
        <v>0</v>
      </c>
      <c r="L4791" t="n">
        <v>0</v>
      </c>
      <c r="M4791" t="n">
        <v>0</v>
      </c>
      <c r="N4791" t="n">
        <v>0</v>
      </c>
      <c r="O4791" t="n">
        <v>0</v>
      </c>
      <c r="P4791" t="n">
        <v>0</v>
      </c>
      <c r="Q4791" t="n">
        <v>0</v>
      </c>
      <c r="R4791" s="2" t="inlineStr"/>
    </row>
    <row r="4792" ht="15" customHeight="1">
      <c r="A4792" t="inlineStr">
        <is>
          <t>A 44940-2023</t>
        </is>
      </c>
      <c r="B4792" s="1" t="n">
        <v>45190.68653935185</v>
      </c>
      <c r="C4792" s="1" t="n">
        <v>45962</v>
      </c>
      <c r="D4792" t="inlineStr">
        <is>
          <t>SKÅNE LÄN</t>
        </is>
      </c>
      <c r="E4792" t="inlineStr">
        <is>
          <t>HÄSSLEHOLM</t>
        </is>
      </c>
      <c r="G4792" t="n">
        <v>1.5</v>
      </c>
      <c r="H4792" t="n">
        <v>0</v>
      </c>
      <c r="I4792" t="n">
        <v>0</v>
      </c>
      <c r="J4792" t="n">
        <v>0</v>
      </c>
      <c r="K4792" t="n">
        <v>0</v>
      </c>
      <c r="L4792" t="n">
        <v>0</v>
      </c>
      <c r="M4792" t="n">
        <v>0</v>
      </c>
      <c r="N4792" t="n">
        <v>0</v>
      </c>
      <c r="O4792" t="n">
        <v>0</v>
      </c>
      <c r="P4792" t="n">
        <v>0</v>
      </c>
      <c r="Q4792" t="n">
        <v>0</v>
      </c>
      <c r="R4792" s="2" t="inlineStr"/>
    </row>
    <row r="4793" ht="15" customHeight="1">
      <c r="A4793" t="inlineStr">
        <is>
          <t>A 49567-2025</t>
        </is>
      </c>
      <c r="B4793" s="1" t="n">
        <v>45939.47030092592</v>
      </c>
      <c r="C4793" s="1" t="n">
        <v>45962</v>
      </c>
      <c r="D4793" t="inlineStr">
        <is>
          <t>SKÅNE LÄN</t>
        </is>
      </c>
      <c r="E4793" t="inlineStr">
        <is>
          <t>KRISTIANSTAD</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49568-2025</t>
        </is>
      </c>
      <c r="B4794" s="1" t="n">
        <v>45939.47542824074</v>
      </c>
      <c r="C4794" s="1" t="n">
        <v>45962</v>
      </c>
      <c r="D4794" t="inlineStr">
        <is>
          <t>SKÅNE LÄN</t>
        </is>
      </c>
      <c r="E4794" t="inlineStr">
        <is>
          <t>KRISTIANSTAD</t>
        </is>
      </c>
      <c r="G4794" t="n">
        <v>0.9</v>
      </c>
      <c r="H4794" t="n">
        <v>0</v>
      </c>
      <c r="I4794" t="n">
        <v>0</v>
      </c>
      <c r="J4794" t="n">
        <v>0</v>
      </c>
      <c r="K4794" t="n">
        <v>0</v>
      </c>
      <c r="L4794" t="n">
        <v>0</v>
      </c>
      <c r="M4794" t="n">
        <v>0</v>
      </c>
      <c r="N4794" t="n">
        <v>0</v>
      </c>
      <c r="O4794" t="n">
        <v>0</v>
      </c>
      <c r="P4794" t="n">
        <v>0</v>
      </c>
      <c r="Q4794" t="n">
        <v>0</v>
      </c>
      <c r="R4794" s="2" t="inlineStr"/>
    </row>
    <row r="4795" ht="15" customHeight="1">
      <c r="A4795" t="inlineStr">
        <is>
          <t>A 40618-2025</t>
        </is>
      </c>
      <c r="B4795" s="1" t="n">
        <v>45896</v>
      </c>
      <c r="C4795" s="1" t="n">
        <v>45962</v>
      </c>
      <c r="D4795" t="inlineStr">
        <is>
          <t>SKÅNE LÄN</t>
        </is>
      </c>
      <c r="E4795" t="inlineStr">
        <is>
          <t>ÖSTRA GÖINGE</t>
        </is>
      </c>
      <c r="F4795" t="inlineStr">
        <is>
          <t>Kyrkan</t>
        </is>
      </c>
      <c r="G4795" t="n">
        <v>2.4</v>
      </c>
      <c r="H4795" t="n">
        <v>0</v>
      </c>
      <c r="I4795" t="n">
        <v>0</v>
      </c>
      <c r="J4795" t="n">
        <v>0</v>
      </c>
      <c r="K4795" t="n">
        <v>0</v>
      </c>
      <c r="L4795" t="n">
        <v>0</v>
      </c>
      <c r="M4795" t="n">
        <v>0</v>
      </c>
      <c r="N4795" t="n">
        <v>0</v>
      </c>
      <c r="O4795" t="n">
        <v>0</v>
      </c>
      <c r="P4795" t="n">
        <v>0</v>
      </c>
      <c r="Q4795" t="n">
        <v>0</v>
      </c>
      <c r="R4795" s="2" t="inlineStr"/>
    </row>
    <row r="4796" ht="15" customHeight="1">
      <c r="A4796" t="inlineStr">
        <is>
          <t>A 52857-2022</t>
        </is>
      </c>
      <c r="B4796" s="1" t="n">
        <v>44872</v>
      </c>
      <c r="C4796" s="1" t="n">
        <v>45962</v>
      </c>
      <c r="D4796" t="inlineStr">
        <is>
          <t>SKÅNE LÄN</t>
        </is>
      </c>
      <c r="E4796" t="inlineStr">
        <is>
          <t>OSBY</t>
        </is>
      </c>
      <c r="F4796" t="inlineStr">
        <is>
          <t>Sveaskog</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41139-2025</t>
        </is>
      </c>
      <c r="B4797" s="1" t="n">
        <v>45898</v>
      </c>
      <c r="C4797" s="1" t="n">
        <v>45962</v>
      </c>
      <c r="D4797" t="inlineStr">
        <is>
          <t>SKÅNE LÄN</t>
        </is>
      </c>
      <c r="E4797" t="inlineStr">
        <is>
          <t>KRISTIANSTAD</t>
        </is>
      </c>
      <c r="G4797" t="n">
        <v>24.3</v>
      </c>
      <c r="H4797" t="n">
        <v>0</v>
      </c>
      <c r="I4797" t="n">
        <v>0</v>
      </c>
      <c r="J4797" t="n">
        <v>0</v>
      </c>
      <c r="K4797" t="n">
        <v>0</v>
      </c>
      <c r="L4797" t="n">
        <v>0</v>
      </c>
      <c r="M4797" t="n">
        <v>0</v>
      </c>
      <c r="N4797" t="n">
        <v>0</v>
      </c>
      <c r="O4797" t="n">
        <v>0</v>
      </c>
      <c r="P4797" t="n">
        <v>0</v>
      </c>
      <c r="Q4797" t="n">
        <v>0</v>
      </c>
      <c r="R4797" s="2" t="inlineStr"/>
    </row>
    <row r="4798" ht="15" customHeight="1">
      <c r="A4798" t="inlineStr">
        <is>
          <t>A 25533-2024</t>
        </is>
      </c>
      <c r="B4798" s="1" t="n">
        <v>45463</v>
      </c>
      <c r="C4798" s="1" t="n">
        <v>45962</v>
      </c>
      <c r="D4798" t="inlineStr">
        <is>
          <t>SKÅNE LÄN</t>
        </is>
      </c>
      <c r="E4798" t="inlineStr">
        <is>
          <t>HÄSSLEHOLM</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39530-2023</t>
        </is>
      </c>
      <c r="B4799" s="1" t="n">
        <v>45167.34055555556</v>
      </c>
      <c r="C4799" s="1" t="n">
        <v>45962</v>
      </c>
      <c r="D4799" t="inlineStr">
        <is>
          <t>SKÅNE LÄN</t>
        </is>
      </c>
      <c r="E4799" t="inlineStr">
        <is>
          <t>KLIPPAN</t>
        </is>
      </c>
      <c r="G4799" t="n">
        <v>2.9</v>
      </c>
      <c r="H4799" t="n">
        <v>0</v>
      </c>
      <c r="I4799" t="n">
        <v>0</v>
      </c>
      <c r="J4799" t="n">
        <v>0</v>
      </c>
      <c r="K4799" t="n">
        <v>0</v>
      </c>
      <c r="L4799" t="n">
        <v>0</v>
      </c>
      <c r="M4799" t="n">
        <v>0</v>
      </c>
      <c r="N4799" t="n">
        <v>0</v>
      </c>
      <c r="O4799" t="n">
        <v>0</v>
      </c>
      <c r="P4799" t="n">
        <v>0</v>
      </c>
      <c r="Q4799" t="n">
        <v>0</v>
      </c>
      <c r="R4799" s="2" t="inlineStr"/>
    </row>
    <row r="4800" ht="15" customHeight="1">
      <c r="A4800" t="inlineStr">
        <is>
          <t>A 41516-2025</t>
        </is>
      </c>
      <c r="B4800" s="1" t="n">
        <v>45901.54479166667</v>
      </c>
      <c r="C4800" s="1" t="n">
        <v>45962</v>
      </c>
      <c r="D4800" t="inlineStr">
        <is>
          <t>SKÅNE LÄN</t>
        </is>
      </c>
      <c r="E4800" t="inlineStr">
        <is>
          <t>HÖÖR</t>
        </is>
      </c>
      <c r="G4800" t="n">
        <v>0.9</v>
      </c>
      <c r="H4800" t="n">
        <v>0</v>
      </c>
      <c r="I4800" t="n">
        <v>0</v>
      </c>
      <c r="J4800" t="n">
        <v>0</v>
      </c>
      <c r="K4800" t="n">
        <v>0</v>
      </c>
      <c r="L4800" t="n">
        <v>0</v>
      </c>
      <c r="M4800" t="n">
        <v>0</v>
      </c>
      <c r="N4800" t="n">
        <v>0</v>
      </c>
      <c r="O4800" t="n">
        <v>0</v>
      </c>
      <c r="P4800" t="n">
        <v>0</v>
      </c>
      <c r="Q4800" t="n">
        <v>0</v>
      </c>
      <c r="R4800" s="2" t="inlineStr"/>
    </row>
    <row r="4801" ht="15" customHeight="1">
      <c r="A4801" t="inlineStr">
        <is>
          <t>A 20227-2022</t>
        </is>
      </c>
      <c r="B4801" s="1" t="n">
        <v>44698</v>
      </c>
      <c r="C4801" s="1" t="n">
        <v>45962</v>
      </c>
      <c r="D4801" t="inlineStr">
        <is>
          <t>SKÅNE LÄN</t>
        </is>
      </c>
      <c r="E4801" t="inlineStr">
        <is>
          <t>OSBY</t>
        </is>
      </c>
      <c r="F4801" t="inlineStr">
        <is>
          <t>Kommuner</t>
        </is>
      </c>
      <c r="G4801" t="n">
        <v>7.1</v>
      </c>
      <c r="H4801" t="n">
        <v>0</v>
      </c>
      <c r="I4801" t="n">
        <v>0</v>
      </c>
      <c r="J4801" t="n">
        <v>0</v>
      </c>
      <c r="K4801" t="n">
        <v>0</v>
      </c>
      <c r="L4801" t="n">
        <v>0</v>
      </c>
      <c r="M4801" t="n">
        <v>0</v>
      </c>
      <c r="N4801" t="n">
        <v>0</v>
      </c>
      <c r="O4801" t="n">
        <v>0</v>
      </c>
      <c r="P4801" t="n">
        <v>0</v>
      </c>
      <c r="Q4801" t="n">
        <v>0</v>
      </c>
      <c r="R4801" s="2" t="inlineStr"/>
    </row>
    <row r="4802" ht="15" customHeight="1">
      <c r="A4802" t="inlineStr">
        <is>
          <t>A 61498-2022</t>
        </is>
      </c>
      <c r="B4802" s="1" t="n">
        <v>44910</v>
      </c>
      <c r="C4802" s="1" t="n">
        <v>45962</v>
      </c>
      <c r="D4802" t="inlineStr">
        <is>
          <t>SKÅNE LÄN</t>
        </is>
      </c>
      <c r="E4802" t="inlineStr">
        <is>
          <t>HÄSSLEHOLM</t>
        </is>
      </c>
      <c r="F4802" t="inlineStr">
        <is>
          <t>Kyrkan</t>
        </is>
      </c>
      <c r="G4802" t="n">
        <v>3.2</v>
      </c>
      <c r="H4802" t="n">
        <v>0</v>
      </c>
      <c r="I4802" t="n">
        <v>0</v>
      </c>
      <c r="J4802" t="n">
        <v>0</v>
      </c>
      <c r="K4802" t="n">
        <v>0</v>
      </c>
      <c r="L4802" t="n">
        <v>0</v>
      </c>
      <c r="M4802" t="n">
        <v>0</v>
      </c>
      <c r="N4802" t="n">
        <v>0</v>
      </c>
      <c r="O4802" t="n">
        <v>0</v>
      </c>
      <c r="P4802" t="n">
        <v>0</v>
      </c>
      <c r="Q4802" t="n">
        <v>0</v>
      </c>
      <c r="R4802" s="2" t="inlineStr"/>
    </row>
    <row r="4803" ht="15" customHeight="1">
      <c r="A4803" t="inlineStr">
        <is>
          <t>A 41157-2025</t>
        </is>
      </c>
      <c r="B4803" s="1" t="n">
        <v>45898.52972222222</v>
      </c>
      <c r="C4803" s="1" t="n">
        <v>45962</v>
      </c>
      <c r="D4803" t="inlineStr">
        <is>
          <t>SKÅNE LÄN</t>
        </is>
      </c>
      <c r="E4803" t="inlineStr">
        <is>
          <t>SIMRISHAMN</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25967-2023</t>
        </is>
      </c>
      <c r="B4804" s="1" t="n">
        <v>45090.79582175926</v>
      </c>
      <c r="C4804" s="1" t="n">
        <v>45962</v>
      </c>
      <c r="D4804" t="inlineStr">
        <is>
          <t>SKÅNE LÄN</t>
        </is>
      </c>
      <c r="E4804" t="inlineStr">
        <is>
          <t>ÖRKELLJUNGA</t>
        </is>
      </c>
      <c r="G4804" t="n">
        <v>4.9</v>
      </c>
      <c r="H4804" t="n">
        <v>0</v>
      </c>
      <c r="I4804" t="n">
        <v>0</v>
      </c>
      <c r="J4804" t="n">
        <v>0</v>
      </c>
      <c r="K4804" t="n">
        <v>0</v>
      </c>
      <c r="L4804" t="n">
        <v>0</v>
      </c>
      <c r="M4804" t="n">
        <v>0</v>
      </c>
      <c r="N4804" t="n">
        <v>0</v>
      </c>
      <c r="O4804" t="n">
        <v>0</v>
      </c>
      <c r="P4804" t="n">
        <v>0</v>
      </c>
      <c r="Q4804" t="n">
        <v>0</v>
      </c>
      <c r="R4804" s="2" t="inlineStr"/>
    </row>
    <row r="4805" ht="15" customHeight="1">
      <c r="A4805" t="inlineStr">
        <is>
          <t>A 49897-2025</t>
        </is>
      </c>
      <c r="B4805" s="1" t="n">
        <v>45940.58430555555</v>
      </c>
      <c r="C4805" s="1" t="n">
        <v>45962</v>
      </c>
      <c r="D4805" t="inlineStr">
        <is>
          <t>SKÅNE LÄN</t>
        </is>
      </c>
      <c r="E4805" t="inlineStr">
        <is>
          <t>SJÖBO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34348-2024</t>
        </is>
      </c>
      <c r="B4806" s="1" t="n">
        <v>45525.35751157408</v>
      </c>
      <c r="C4806" s="1" t="n">
        <v>45962</v>
      </c>
      <c r="D4806" t="inlineStr">
        <is>
          <t>SKÅNE LÄN</t>
        </is>
      </c>
      <c r="E4806" t="inlineStr">
        <is>
          <t>KRISTIANSTAD</t>
        </is>
      </c>
      <c r="G4806" t="n">
        <v>6</v>
      </c>
      <c r="H4806" t="n">
        <v>0</v>
      </c>
      <c r="I4806" t="n">
        <v>0</v>
      </c>
      <c r="J4806" t="n">
        <v>0</v>
      </c>
      <c r="K4806" t="n">
        <v>0</v>
      </c>
      <c r="L4806" t="n">
        <v>0</v>
      </c>
      <c r="M4806" t="n">
        <v>0</v>
      </c>
      <c r="N4806" t="n">
        <v>0</v>
      </c>
      <c r="O4806" t="n">
        <v>0</v>
      </c>
      <c r="P4806" t="n">
        <v>0</v>
      </c>
      <c r="Q4806" t="n">
        <v>0</v>
      </c>
      <c r="R4806" s="2" t="inlineStr"/>
    </row>
    <row r="4807" ht="15" customHeight="1">
      <c r="A4807" t="inlineStr">
        <is>
          <t>A 9899-2025</t>
        </is>
      </c>
      <c r="B4807" s="1" t="n">
        <v>45716.79393518518</v>
      </c>
      <c r="C4807" s="1" t="n">
        <v>45962</v>
      </c>
      <c r="D4807" t="inlineStr">
        <is>
          <t>SKÅNE LÄN</t>
        </is>
      </c>
      <c r="E4807" t="inlineStr">
        <is>
          <t>KRISTIANSTAD</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22636-2023</t>
        </is>
      </c>
      <c r="B4808" s="1" t="n">
        <v>45071</v>
      </c>
      <c r="C4808" s="1" t="n">
        <v>45962</v>
      </c>
      <c r="D4808" t="inlineStr">
        <is>
          <t>SKÅNE LÄN</t>
        </is>
      </c>
      <c r="E4808" t="inlineStr">
        <is>
          <t>OSBY</t>
        </is>
      </c>
      <c r="G4808" t="n">
        <v>5.5</v>
      </c>
      <c r="H4808" t="n">
        <v>0</v>
      </c>
      <c r="I4808" t="n">
        <v>0</v>
      </c>
      <c r="J4808" t="n">
        <v>0</v>
      </c>
      <c r="K4808" t="n">
        <v>0</v>
      </c>
      <c r="L4808" t="n">
        <v>0</v>
      </c>
      <c r="M4808" t="n">
        <v>0</v>
      </c>
      <c r="N4808" t="n">
        <v>0</v>
      </c>
      <c r="O4808" t="n">
        <v>0</v>
      </c>
      <c r="P4808" t="n">
        <v>0</v>
      </c>
      <c r="Q4808" t="n">
        <v>0</v>
      </c>
      <c r="R4808" s="2" t="inlineStr"/>
    </row>
    <row r="4809" ht="15" customHeight="1">
      <c r="A4809" t="inlineStr">
        <is>
          <t>A 22696-2023</t>
        </is>
      </c>
      <c r="B4809" s="1" t="n">
        <v>45071.69464120371</v>
      </c>
      <c r="C4809" s="1" t="n">
        <v>45962</v>
      </c>
      <c r="D4809" t="inlineStr">
        <is>
          <t>SKÅNE LÄN</t>
        </is>
      </c>
      <c r="E4809" t="inlineStr">
        <is>
          <t>HÄSSLEHOLM</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22410-2024</t>
        </is>
      </c>
      <c r="B4810" s="1" t="n">
        <v>45446</v>
      </c>
      <c r="C4810" s="1" t="n">
        <v>45962</v>
      </c>
      <c r="D4810" t="inlineStr">
        <is>
          <t>SKÅNE LÄN</t>
        </is>
      </c>
      <c r="E4810" t="inlineStr">
        <is>
          <t>ÖRKELLJUNGA</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52337-2023</t>
        </is>
      </c>
      <c r="B4811" s="1" t="n">
        <v>45224.66359953704</v>
      </c>
      <c r="C4811" s="1" t="n">
        <v>45962</v>
      </c>
      <c r="D4811" t="inlineStr">
        <is>
          <t>SKÅNE LÄN</t>
        </is>
      </c>
      <c r="E4811" t="inlineStr">
        <is>
          <t>HÄSSLEHOLM</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22976-2023</t>
        </is>
      </c>
      <c r="B4812" s="1" t="n">
        <v>45072</v>
      </c>
      <c r="C4812" s="1" t="n">
        <v>45962</v>
      </c>
      <c r="D4812" t="inlineStr">
        <is>
          <t>SKÅNE LÄN</t>
        </is>
      </c>
      <c r="E4812" t="inlineStr">
        <is>
          <t>KLIPPAN</t>
        </is>
      </c>
      <c r="G4812" t="n">
        <v>3</v>
      </c>
      <c r="H4812" t="n">
        <v>0</v>
      </c>
      <c r="I4812" t="n">
        <v>0</v>
      </c>
      <c r="J4812" t="n">
        <v>0</v>
      </c>
      <c r="K4812" t="n">
        <v>0</v>
      </c>
      <c r="L4812" t="n">
        <v>0</v>
      </c>
      <c r="M4812" t="n">
        <v>0</v>
      </c>
      <c r="N4812" t="n">
        <v>0</v>
      </c>
      <c r="O4812" t="n">
        <v>0</v>
      </c>
      <c r="P4812" t="n">
        <v>0</v>
      </c>
      <c r="Q4812" t="n">
        <v>0</v>
      </c>
      <c r="R4812" s="2" t="inlineStr"/>
    </row>
    <row r="4813" ht="15" customHeight="1">
      <c r="A4813" t="inlineStr">
        <is>
          <t>A 41166-2025</t>
        </is>
      </c>
      <c r="B4813" s="1" t="n">
        <v>45898</v>
      </c>
      <c r="C4813" s="1" t="n">
        <v>45962</v>
      </c>
      <c r="D4813" t="inlineStr">
        <is>
          <t>SKÅNE LÄN</t>
        </is>
      </c>
      <c r="E4813" t="inlineStr">
        <is>
          <t>ÄNGELHOLM</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41245-2025</t>
        </is>
      </c>
      <c r="B4814" s="1" t="n">
        <v>45898.60077546296</v>
      </c>
      <c r="C4814" s="1" t="n">
        <v>45962</v>
      </c>
      <c r="D4814" t="inlineStr">
        <is>
          <t>SKÅNE LÄN</t>
        </is>
      </c>
      <c r="E4814" t="inlineStr">
        <is>
          <t>KRISTIANSTAD</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41357-2025</t>
        </is>
      </c>
      <c r="B4815" s="1" t="n">
        <v>45900.45480324074</v>
      </c>
      <c r="C4815" s="1" t="n">
        <v>45962</v>
      </c>
      <c r="D4815" t="inlineStr">
        <is>
          <t>SKÅNE LÄN</t>
        </is>
      </c>
      <c r="E4815" t="inlineStr">
        <is>
          <t>KRISTIANSTAD</t>
        </is>
      </c>
      <c r="G4815" t="n">
        <v>4.8</v>
      </c>
      <c r="H4815" t="n">
        <v>0</v>
      </c>
      <c r="I4815" t="n">
        <v>0</v>
      </c>
      <c r="J4815" t="n">
        <v>0</v>
      </c>
      <c r="K4815" t="n">
        <v>0</v>
      </c>
      <c r="L4815" t="n">
        <v>0</v>
      </c>
      <c r="M4815" t="n">
        <v>0</v>
      </c>
      <c r="N4815" t="n">
        <v>0</v>
      </c>
      <c r="O4815" t="n">
        <v>0</v>
      </c>
      <c r="P4815" t="n">
        <v>0</v>
      </c>
      <c r="Q4815" t="n">
        <v>0</v>
      </c>
      <c r="R4815" s="2" t="inlineStr"/>
    </row>
    <row r="4816" ht="15" customHeight="1">
      <c r="A4816" t="inlineStr">
        <is>
          <t>A 41362-2025</t>
        </is>
      </c>
      <c r="B4816" s="1" t="n">
        <v>45900.47234953703</v>
      </c>
      <c r="C4816" s="1" t="n">
        <v>45962</v>
      </c>
      <c r="D4816" t="inlineStr">
        <is>
          <t>SKÅNE LÄN</t>
        </is>
      </c>
      <c r="E4816" t="inlineStr">
        <is>
          <t>KRISTIANSTAD</t>
        </is>
      </c>
      <c r="G4816" t="n">
        <v>2.7</v>
      </c>
      <c r="H4816" t="n">
        <v>0</v>
      </c>
      <c r="I4816" t="n">
        <v>0</v>
      </c>
      <c r="J4816" t="n">
        <v>0</v>
      </c>
      <c r="K4816" t="n">
        <v>0</v>
      </c>
      <c r="L4816" t="n">
        <v>0</v>
      </c>
      <c r="M4816" t="n">
        <v>0</v>
      </c>
      <c r="N4816" t="n">
        <v>0</v>
      </c>
      <c r="O4816" t="n">
        <v>0</v>
      </c>
      <c r="P4816" t="n">
        <v>0</v>
      </c>
      <c r="Q4816" t="n">
        <v>0</v>
      </c>
      <c r="R4816" s="2" t="inlineStr"/>
    </row>
    <row r="4817" ht="15" customHeight="1">
      <c r="A4817" t="inlineStr">
        <is>
          <t>A 49845-2025</t>
        </is>
      </c>
      <c r="B4817" s="1" t="n">
        <v>45940.48015046296</v>
      </c>
      <c r="C4817" s="1" t="n">
        <v>45962</v>
      </c>
      <c r="D4817" t="inlineStr">
        <is>
          <t>SKÅNE LÄN</t>
        </is>
      </c>
      <c r="E4817" t="inlineStr">
        <is>
          <t>HÄSSLEHOLM</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23955-2023</t>
        </is>
      </c>
      <c r="B4818" s="1" t="n">
        <v>45078.62217592593</v>
      </c>
      <c r="C4818" s="1" t="n">
        <v>45962</v>
      </c>
      <c r="D4818" t="inlineStr">
        <is>
          <t>SKÅNE LÄN</t>
        </is>
      </c>
      <c r="E4818" t="inlineStr">
        <is>
          <t>HÄSSLEHOLM</t>
        </is>
      </c>
      <c r="G4818" t="n">
        <v>1.4</v>
      </c>
      <c r="H4818" t="n">
        <v>0</v>
      </c>
      <c r="I4818" t="n">
        <v>0</v>
      </c>
      <c r="J4818" t="n">
        <v>0</v>
      </c>
      <c r="K4818" t="n">
        <v>0</v>
      </c>
      <c r="L4818" t="n">
        <v>0</v>
      </c>
      <c r="M4818" t="n">
        <v>0</v>
      </c>
      <c r="N4818" t="n">
        <v>0</v>
      </c>
      <c r="O4818" t="n">
        <v>0</v>
      </c>
      <c r="P4818" t="n">
        <v>0</v>
      </c>
      <c r="Q4818" t="n">
        <v>0</v>
      </c>
      <c r="R4818" s="2" t="inlineStr"/>
    </row>
    <row r="4819" ht="15" customHeight="1">
      <c r="A4819" t="inlineStr">
        <is>
          <t>A 28288-2023</t>
        </is>
      </c>
      <c r="B4819" s="1" t="n">
        <v>45099.6349537037</v>
      </c>
      <c r="C4819" s="1" t="n">
        <v>45962</v>
      </c>
      <c r="D4819" t="inlineStr">
        <is>
          <t>SKÅNE LÄN</t>
        </is>
      </c>
      <c r="E4819" t="inlineStr">
        <is>
          <t>HELSINGBORG</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18752-2023</t>
        </is>
      </c>
      <c r="B4820" s="1" t="n">
        <v>45043.86902777778</v>
      </c>
      <c r="C4820" s="1" t="n">
        <v>45962</v>
      </c>
      <c r="D4820" t="inlineStr">
        <is>
          <t>SKÅNE LÄN</t>
        </is>
      </c>
      <c r="E4820" t="inlineStr">
        <is>
          <t>KRISTIANSTAD</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50163-2025</t>
        </is>
      </c>
      <c r="B4821" s="1" t="n">
        <v>45943.58734953704</v>
      </c>
      <c r="C4821" s="1" t="n">
        <v>45962</v>
      </c>
      <c r="D4821" t="inlineStr">
        <is>
          <t>SKÅNE LÄN</t>
        </is>
      </c>
      <c r="E4821" t="inlineStr">
        <is>
          <t>KLIPPAN</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10897-2023</t>
        </is>
      </c>
      <c r="B4822" s="1" t="n">
        <v>44985</v>
      </c>
      <c r="C4822" s="1" t="n">
        <v>45962</v>
      </c>
      <c r="D4822" t="inlineStr">
        <is>
          <t>SKÅNE LÄN</t>
        </is>
      </c>
      <c r="E4822" t="inlineStr">
        <is>
          <t>HÄSSLEHOLM</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50571-2023</t>
        </is>
      </c>
      <c r="B4823" s="1" t="n">
        <v>45217.38359953704</v>
      </c>
      <c r="C4823" s="1" t="n">
        <v>45962</v>
      </c>
      <c r="D4823" t="inlineStr">
        <is>
          <t>SKÅNE LÄN</t>
        </is>
      </c>
      <c r="E4823" t="inlineStr">
        <is>
          <t>HÄSSLEHOLM</t>
        </is>
      </c>
      <c r="G4823" t="n">
        <v>0.5</v>
      </c>
      <c r="H4823" t="n">
        <v>0</v>
      </c>
      <c r="I4823" t="n">
        <v>0</v>
      </c>
      <c r="J4823" t="n">
        <v>0</v>
      </c>
      <c r="K4823" t="n">
        <v>0</v>
      </c>
      <c r="L4823" t="n">
        <v>0</v>
      </c>
      <c r="M4823" t="n">
        <v>0</v>
      </c>
      <c r="N4823" t="n">
        <v>0</v>
      </c>
      <c r="O4823" t="n">
        <v>0</v>
      </c>
      <c r="P4823" t="n">
        <v>0</v>
      </c>
      <c r="Q4823" t="n">
        <v>0</v>
      </c>
      <c r="R4823" s="2" t="inlineStr"/>
    </row>
    <row r="4824" ht="15" customHeight="1">
      <c r="A4824" t="inlineStr">
        <is>
          <t>A 50611-2023</t>
        </is>
      </c>
      <c r="B4824" s="1" t="n">
        <v>45217.44344907408</v>
      </c>
      <c r="C4824" s="1" t="n">
        <v>45962</v>
      </c>
      <c r="D4824" t="inlineStr">
        <is>
          <t>SKÅNE LÄN</t>
        </is>
      </c>
      <c r="E4824" t="inlineStr">
        <is>
          <t>OSBY</t>
        </is>
      </c>
      <c r="G4824" t="n">
        <v>4.3</v>
      </c>
      <c r="H4824" t="n">
        <v>0</v>
      </c>
      <c r="I4824" t="n">
        <v>0</v>
      </c>
      <c r="J4824" t="n">
        <v>0</v>
      </c>
      <c r="K4824" t="n">
        <v>0</v>
      </c>
      <c r="L4824" t="n">
        <v>0</v>
      </c>
      <c r="M4824" t="n">
        <v>0</v>
      </c>
      <c r="N4824" t="n">
        <v>0</v>
      </c>
      <c r="O4824" t="n">
        <v>0</v>
      </c>
      <c r="P4824" t="n">
        <v>0</v>
      </c>
      <c r="Q4824" t="n">
        <v>0</v>
      </c>
      <c r="R4824" s="2" t="inlineStr"/>
    </row>
    <row r="4825" ht="15" customHeight="1">
      <c r="A4825" t="inlineStr">
        <is>
          <t>A 16199-2024</t>
        </is>
      </c>
      <c r="B4825" s="1" t="n">
        <v>45406</v>
      </c>
      <c r="C4825" s="1" t="n">
        <v>45962</v>
      </c>
      <c r="D4825" t="inlineStr">
        <is>
          <t>SKÅNE LÄN</t>
        </is>
      </c>
      <c r="E4825" t="inlineStr">
        <is>
          <t>SVEDALA</t>
        </is>
      </c>
      <c r="G4825" t="n">
        <v>13.5</v>
      </c>
      <c r="H4825" t="n">
        <v>0</v>
      </c>
      <c r="I4825" t="n">
        <v>0</v>
      </c>
      <c r="J4825" t="n">
        <v>0</v>
      </c>
      <c r="K4825" t="n">
        <v>0</v>
      </c>
      <c r="L4825" t="n">
        <v>0</v>
      </c>
      <c r="M4825" t="n">
        <v>0</v>
      </c>
      <c r="N4825" t="n">
        <v>0</v>
      </c>
      <c r="O4825" t="n">
        <v>0</v>
      </c>
      <c r="P4825" t="n">
        <v>0</v>
      </c>
      <c r="Q4825" t="n">
        <v>0</v>
      </c>
      <c r="R4825" s="2" t="inlineStr"/>
    </row>
    <row r="4826" ht="15" customHeight="1">
      <c r="A4826" t="inlineStr">
        <is>
          <t>A 11672-2024</t>
        </is>
      </c>
      <c r="B4826" s="1" t="n">
        <v>45373</v>
      </c>
      <c r="C4826" s="1" t="n">
        <v>45962</v>
      </c>
      <c r="D4826" t="inlineStr">
        <is>
          <t>SKÅNE LÄN</t>
        </is>
      </c>
      <c r="E4826" t="inlineStr">
        <is>
          <t>SVALÖV</t>
        </is>
      </c>
      <c r="G4826" t="n">
        <v>13.9</v>
      </c>
      <c r="H4826" t="n">
        <v>0</v>
      </c>
      <c r="I4826" t="n">
        <v>0</v>
      </c>
      <c r="J4826" t="n">
        <v>0</v>
      </c>
      <c r="K4826" t="n">
        <v>0</v>
      </c>
      <c r="L4826" t="n">
        <v>0</v>
      </c>
      <c r="M4826" t="n">
        <v>0</v>
      </c>
      <c r="N4826" t="n">
        <v>0</v>
      </c>
      <c r="O4826" t="n">
        <v>0</v>
      </c>
      <c r="P4826" t="n">
        <v>0</v>
      </c>
      <c r="Q4826" t="n">
        <v>0</v>
      </c>
      <c r="R4826" s="2" t="inlineStr"/>
    </row>
    <row r="4827" ht="15" customHeight="1">
      <c r="A4827" t="inlineStr">
        <is>
          <t>A 18908-2023</t>
        </is>
      </c>
      <c r="B4827" s="1" t="n">
        <v>45044</v>
      </c>
      <c r="C4827" s="1" t="n">
        <v>45962</v>
      </c>
      <c r="D4827" t="inlineStr">
        <is>
          <t>SKÅNE LÄN</t>
        </is>
      </c>
      <c r="E4827" t="inlineStr">
        <is>
          <t>HÄSSLEHOLM</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10028-2024</t>
        </is>
      </c>
      <c r="B4828" s="1" t="n">
        <v>45363.97292824074</v>
      </c>
      <c r="C4828" s="1" t="n">
        <v>45962</v>
      </c>
      <c r="D4828" t="inlineStr">
        <is>
          <t>SKÅNE LÄN</t>
        </is>
      </c>
      <c r="E4828" t="inlineStr">
        <is>
          <t>HÄSSLEHOLM</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13084-2025</t>
        </is>
      </c>
      <c r="B4829" s="1" t="n">
        <v>45734</v>
      </c>
      <c r="C4829" s="1" t="n">
        <v>45962</v>
      </c>
      <c r="D4829" t="inlineStr">
        <is>
          <t>SKÅNE LÄN</t>
        </is>
      </c>
      <c r="E4829" t="inlineStr">
        <is>
          <t>HÄSSLEHOLM</t>
        </is>
      </c>
      <c r="G4829" t="n">
        <v>2.3</v>
      </c>
      <c r="H4829" t="n">
        <v>0</v>
      </c>
      <c r="I4829" t="n">
        <v>0</v>
      </c>
      <c r="J4829" t="n">
        <v>0</v>
      </c>
      <c r="K4829" t="n">
        <v>0</v>
      </c>
      <c r="L4829" t="n">
        <v>0</v>
      </c>
      <c r="M4829" t="n">
        <v>0</v>
      </c>
      <c r="N4829" t="n">
        <v>0</v>
      </c>
      <c r="O4829" t="n">
        <v>0</v>
      </c>
      <c r="P4829" t="n">
        <v>0</v>
      </c>
      <c r="Q4829" t="n">
        <v>0</v>
      </c>
      <c r="R4829" s="2" t="inlineStr"/>
    </row>
    <row r="4830" ht="15" customHeight="1">
      <c r="A4830" t="inlineStr">
        <is>
          <t>A 29334-2022</t>
        </is>
      </c>
      <c r="B4830" s="1" t="n">
        <v>44752</v>
      </c>
      <c r="C4830" s="1" t="n">
        <v>45962</v>
      </c>
      <c r="D4830" t="inlineStr">
        <is>
          <t>SKÅNE LÄN</t>
        </is>
      </c>
      <c r="E4830" t="inlineStr">
        <is>
          <t>ÖRKELLJUNGA</t>
        </is>
      </c>
      <c r="F4830" t="inlineStr">
        <is>
          <t>Kommuner</t>
        </is>
      </c>
      <c r="G4830" t="n">
        <v>2.8</v>
      </c>
      <c r="H4830" t="n">
        <v>0</v>
      </c>
      <c r="I4830" t="n">
        <v>0</v>
      </c>
      <c r="J4830" t="n">
        <v>0</v>
      </c>
      <c r="K4830" t="n">
        <v>0</v>
      </c>
      <c r="L4830" t="n">
        <v>0</v>
      </c>
      <c r="M4830" t="n">
        <v>0</v>
      </c>
      <c r="N4830" t="n">
        <v>0</v>
      </c>
      <c r="O4830" t="n">
        <v>0</v>
      </c>
      <c r="P4830" t="n">
        <v>0</v>
      </c>
      <c r="Q4830" t="n">
        <v>0</v>
      </c>
      <c r="R4830" s="2" t="inlineStr"/>
    </row>
    <row r="4831" ht="15" customHeight="1">
      <c r="A4831" t="inlineStr">
        <is>
          <t>A 58337-2021</t>
        </is>
      </c>
      <c r="B4831" s="1" t="n">
        <v>44487</v>
      </c>
      <c r="C4831" s="1" t="n">
        <v>45962</v>
      </c>
      <c r="D4831" t="inlineStr">
        <is>
          <t>SKÅNE LÄN</t>
        </is>
      </c>
      <c r="E4831" t="inlineStr">
        <is>
          <t>OSBY</t>
        </is>
      </c>
      <c r="G4831" t="n">
        <v>1.2</v>
      </c>
      <c r="H4831" t="n">
        <v>0</v>
      </c>
      <c r="I4831" t="n">
        <v>0</v>
      </c>
      <c r="J4831" t="n">
        <v>0</v>
      </c>
      <c r="K4831" t="n">
        <v>0</v>
      </c>
      <c r="L4831" t="n">
        <v>0</v>
      </c>
      <c r="M4831" t="n">
        <v>0</v>
      </c>
      <c r="N4831" t="n">
        <v>0</v>
      </c>
      <c r="O4831" t="n">
        <v>0</v>
      </c>
      <c r="P4831" t="n">
        <v>0</v>
      </c>
      <c r="Q4831" t="n">
        <v>0</v>
      </c>
      <c r="R4831" s="2" t="inlineStr"/>
    </row>
    <row r="4832" ht="15" customHeight="1">
      <c r="A4832" t="inlineStr">
        <is>
          <t>A 49745-2025</t>
        </is>
      </c>
      <c r="B4832" s="1" t="n">
        <v>45940.34168981481</v>
      </c>
      <c r="C4832" s="1" t="n">
        <v>45962</v>
      </c>
      <c r="D4832" t="inlineStr">
        <is>
          <t>SKÅNE LÄN</t>
        </is>
      </c>
      <c r="E4832" t="inlineStr">
        <is>
          <t>HÖÖR</t>
        </is>
      </c>
      <c r="G4832" t="n">
        <v>1.2</v>
      </c>
      <c r="H4832" t="n">
        <v>0</v>
      </c>
      <c r="I4832" t="n">
        <v>0</v>
      </c>
      <c r="J4832" t="n">
        <v>0</v>
      </c>
      <c r="K4832" t="n">
        <v>0</v>
      </c>
      <c r="L4832" t="n">
        <v>0</v>
      </c>
      <c r="M4832" t="n">
        <v>0</v>
      </c>
      <c r="N4832" t="n">
        <v>0</v>
      </c>
      <c r="O4832" t="n">
        <v>0</v>
      </c>
      <c r="P4832" t="n">
        <v>0</v>
      </c>
      <c r="Q4832" t="n">
        <v>0</v>
      </c>
      <c r="R4832" s="2" t="inlineStr"/>
    </row>
    <row r="4833" ht="15" customHeight="1">
      <c r="A4833" t="inlineStr">
        <is>
          <t>A 59949-2021</t>
        </is>
      </c>
      <c r="B4833" s="1" t="n">
        <v>44494.82990740741</v>
      </c>
      <c r="C4833" s="1" t="n">
        <v>45962</v>
      </c>
      <c r="D4833" t="inlineStr">
        <is>
          <t>SKÅNE LÄN</t>
        </is>
      </c>
      <c r="E4833" t="inlineStr">
        <is>
          <t>BROMÖLLA</t>
        </is>
      </c>
      <c r="G4833" t="n">
        <v>2.9</v>
      </c>
      <c r="H4833" t="n">
        <v>0</v>
      </c>
      <c r="I4833" t="n">
        <v>0</v>
      </c>
      <c r="J4833" t="n">
        <v>0</v>
      </c>
      <c r="K4833" t="n">
        <v>0</v>
      </c>
      <c r="L4833" t="n">
        <v>0</v>
      </c>
      <c r="M4833" t="n">
        <v>0</v>
      </c>
      <c r="N4833" t="n">
        <v>0</v>
      </c>
      <c r="O4833" t="n">
        <v>0</v>
      </c>
      <c r="P4833" t="n">
        <v>0</v>
      </c>
      <c r="Q4833" t="n">
        <v>0</v>
      </c>
      <c r="R4833" s="2" t="inlineStr"/>
    </row>
    <row r="4834" ht="15" customHeight="1">
      <c r="A4834" t="inlineStr">
        <is>
          <t>A 16285-2025</t>
        </is>
      </c>
      <c r="B4834" s="1" t="n">
        <v>45751.30045138889</v>
      </c>
      <c r="C4834" s="1" t="n">
        <v>45962</v>
      </c>
      <c r="D4834" t="inlineStr">
        <is>
          <t>SKÅNE LÄN</t>
        </is>
      </c>
      <c r="E4834" t="inlineStr">
        <is>
          <t>HÄSSLEHOLM</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5817-2025</t>
        </is>
      </c>
      <c r="B4835" s="1" t="n">
        <v>45694.74113425926</v>
      </c>
      <c r="C4835" s="1" t="n">
        <v>45962</v>
      </c>
      <c r="D4835" t="inlineStr">
        <is>
          <t>SKÅNE LÄN</t>
        </is>
      </c>
      <c r="E4835" t="inlineStr">
        <is>
          <t>BÅSTAD</t>
        </is>
      </c>
      <c r="G4835" t="n">
        <v>1.2</v>
      </c>
      <c r="H4835" t="n">
        <v>0</v>
      </c>
      <c r="I4835" t="n">
        <v>0</v>
      </c>
      <c r="J4835" t="n">
        <v>0</v>
      </c>
      <c r="K4835" t="n">
        <v>0</v>
      </c>
      <c r="L4835" t="n">
        <v>0</v>
      </c>
      <c r="M4835" t="n">
        <v>0</v>
      </c>
      <c r="N4835" t="n">
        <v>0</v>
      </c>
      <c r="O4835" t="n">
        <v>0</v>
      </c>
      <c r="P4835" t="n">
        <v>0</v>
      </c>
      <c r="Q4835" t="n">
        <v>0</v>
      </c>
      <c r="R4835" s="2" t="inlineStr"/>
    </row>
    <row r="4836" ht="15" customHeight="1">
      <c r="A4836" t="inlineStr">
        <is>
          <t>A 5941-2025</t>
        </is>
      </c>
      <c r="B4836" s="1" t="n">
        <v>45695.46671296296</v>
      </c>
      <c r="C4836" s="1" t="n">
        <v>45962</v>
      </c>
      <c r="D4836" t="inlineStr">
        <is>
          <t>SKÅNE LÄN</t>
        </is>
      </c>
      <c r="E4836" t="inlineStr">
        <is>
          <t>ÖRKELLJUNGA</t>
        </is>
      </c>
      <c r="G4836" t="n">
        <v>0.6</v>
      </c>
      <c r="H4836" t="n">
        <v>0</v>
      </c>
      <c r="I4836" t="n">
        <v>0</v>
      </c>
      <c r="J4836" t="n">
        <v>0</v>
      </c>
      <c r="K4836" t="n">
        <v>0</v>
      </c>
      <c r="L4836" t="n">
        <v>0</v>
      </c>
      <c r="M4836" t="n">
        <v>0</v>
      </c>
      <c r="N4836" t="n">
        <v>0</v>
      </c>
      <c r="O4836" t="n">
        <v>0</v>
      </c>
      <c r="P4836" t="n">
        <v>0</v>
      </c>
      <c r="Q4836" t="n">
        <v>0</v>
      </c>
      <c r="R4836" s="2" t="inlineStr"/>
    </row>
    <row r="4837" ht="15" customHeight="1">
      <c r="A4837" t="inlineStr">
        <is>
          <t>A 23978-2022</t>
        </is>
      </c>
      <c r="B4837" s="1" t="n">
        <v>44722</v>
      </c>
      <c r="C4837" s="1" t="n">
        <v>45962</v>
      </c>
      <c r="D4837" t="inlineStr">
        <is>
          <t>SKÅNE LÄN</t>
        </is>
      </c>
      <c r="E4837" t="inlineStr">
        <is>
          <t>KLIPPAN</t>
        </is>
      </c>
      <c r="G4837" t="n">
        <v>9.699999999999999</v>
      </c>
      <c r="H4837" t="n">
        <v>0</v>
      </c>
      <c r="I4837" t="n">
        <v>0</v>
      </c>
      <c r="J4837" t="n">
        <v>0</v>
      </c>
      <c r="K4837" t="n">
        <v>0</v>
      </c>
      <c r="L4837" t="n">
        <v>0</v>
      </c>
      <c r="M4837" t="n">
        <v>0</v>
      </c>
      <c r="N4837" t="n">
        <v>0</v>
      </c>
      <c r="O4837" t="n">
        <v>0</v>
      </c>
      <c r="P4837" t="n">
        <v>0</v>
      </c>
      <c r="Q4837" t="n">
        <v>0</v>
      </c>
      <c r="R4837" s="2" t="inlineStr"/>
    </row>
    <row r="4838" ht="15" customHeight="1">
      <c r="A4838" t="inlineStr">
        <is>
          <t>A 49780-2025</t>
        </is>
      </c>
      <c r="B4838" s="1" t="n">
        <v>45940.38962962963</v>
      </c>
      <c r="C4838" s="1" t="n">
        <v>45962</v>
      </c>
      <c r="D4838" t="inlineStr">
        <is>
          <t>SKÅNE LÄN</t>
        </is>
      </c>
      <c r="E4838" t="inlineStr">
        <is>
          <t>HÖÖR</t>
        </is>
      </c>
      <c r="G4838" t="n">
        <v>0.4</v>
      </c>
      <c r="H4838" t="n">
        <v>0</v>
      </c>
      <c r="I4838" t="n">
        <v>0</v>
      </c>
      <c r="J4838" t="n">
        <v>0</v>
      </c>
      <c r="K4838" t="n">
        <v>0</v>
      </c>
      <c r="L4838" t="n">
        <v>0</v>
      </c>
      <c r="M4838" t="n">
        <v>0</v>
      </c>
      <c r="N4838" t="n">
        <v>0</v>
      </c>
      <c r="O4838" t="n">
        <v>0</v>
      </c>
      <c r="P4838" t="n">
        <v>0</v>
      </c>
      <c r="Q4838" t="n">
        <v>0</v>
      </c>
      <c r="R4838" s="2" t="inlineStr"/>
    </row>
    <row r="4839" ht="15" customHeight="1">
      <c r="A4839" t="inlineStr">
        <is>
          <t>A 46000-2021</t>
        </is>
      </c>
      <c r="B4839" s="1" t="n">
        <v>44441</v>
      </c>
      <c r="C4839" s="1" t="n">
        <v>45962</v>
      </c>
      <c r="D4839" t="inlineStr">
        <is>
          <t>SKÅNE LÄN</t>
        </is>
      </c>
      <c r="E4839" t="inlineStr">
        <is>
          <t>HÄSSLEHOLM</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46523-2023</t>
        </is>
      </c>
      <c r="B4840" s="1" t="n">
        <v>45197.76050925926</v>
      </c>
      <c r="C4840" s="1" t="n">
        <v>45962</v>
      </c>
      <c r="D4840" t="inlineStr">
        <is>
          <t>SKÅNE LÄN</t>
        </is>
      </c>
      <c r="E4840" t="inlineStr">
        <is>
          <t>KRISTIANSTAD</t>
        </is>
      </c>
      <c r="G4840" t="n">
        <v>2</v>
      </c>
      <c r="H4840" t="n">
        <v>0</v>
      </c>
      <c r="I4840" t="n">
        <v>0</v>
      </c>
      <c r="J4840" t="n">
        <v>0</v>
      </c>
      <c r="K4840" t="n">
        <v>0</v>
      </c>
      <c r="L4840" t="n">
        <v>0</v>
      </c>
      <c r="M4840" t="n">
        <v>0</v>
      </c>
      <c r="N4840" t="n">
        <v>0</v>
      </c>
      <c r="O4840" t="n">
        <v>0</v>
      </c>
      <c r="P4840" t="n">
        <v>0</v>
      </c>
      <c r="Q4840" t="n">
        <v>0</v>
      </c>
      <c r="R4840" s="2" t="inlineStr"/>
    </row>
    <row r="4841" ht="15" customHeight="1">
      <c r="A4841" t="inlineStr">
        <is>
          <t>A 41270-2025</t>
        </is>
      </c>
      <c r="B4841" s="1" t="n">
        <v>45898.61960648148</v>
      </c>
      <c r="C4841" s="1" t="n">
        <v>45962</v>
      </c>
      <c r="D4841" t="inlineStr">
        <is>
          <t>SKÅNE LÄN</t>
        </is>
      </c>
      <c r="E4841" t="inlineStr">
        <is>
          <t>OSBY</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3451-2023</t>
        </is>
      </c>
      <c r="B4842" s="1" t="n">
        <v>44949.61746527778</v>
      </c>
      <c r="C4842" s="1" t="n">
        <v>45962</v>
      </c>
      <c r="D4842" t="inlineStr">
        <is>
          <t>SKÅNE LÄN</t>
        </is>
      </c>
      <c r="E4842" t="inlineStr">
        <is>
          <t>OSBY</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49831-2025</t>
        </is>
      </c>
      <c r="B4843" s="1" t="n">
        <v>45940</v>
      </c>
      <c r="C4843" s="1" t="n">
        <v>45962</v>
      </c>
      <c r="D4843" t="inlineStr">
        <is>
          <t>SKÅNE LÄN</t>
        </is>
      </c>
      <c r="E4843" t="inlineStr">
        <is>
          <t>KRISTIANSTAD</t>
        </is>
      </c>
      <c r="G4843" t="n">
        <v>22.1</v>
      </c>
      <c r="H4843" t="n">
        <v>0</v>
      </c>
      <c r="I4843" t="n">
        <v>0</v>
      </c>
      <c r="J4843" t="n">
        <v>0</v>
      </c>
      <c r="K4843" t="n">
        <v>0</v>
      </c>
      <c r="L4843" t="n">
        <v>0</v>
      </c>
      <c r="M4843" t="n">
        <v>0</v>
      </c>
      <c r="N4843" t="n">
        <v>0</v>
      </c>
      <c r="O4843" t="n">
        <v>0</v>
      </c>
      <c r="P4843" t="n">
        <v>0</v>
      </c>
      <c r="Q4843" t="n">
        <v>0</v>
      </c>
      <c r="R4843" s="2" t="inlineStr"/>
    </row>
    <row r="4844" ht="15" customHeight="1">
      <c r="A4844" t="inlineStr">
        <is>
          <t>A 41400-2025</t>
        </is>
      </c>
      <c r="B4844" s="1" t="n">
        <v>45901</v>
      </c>
      <c r="C4844" s="1" t="n">
        <v>45962</v>
      </c>
      <c r="D4844" t="inlineStr">
        <is>
          <t>SKÅNE LÄN</t>
        </is>
      </c>
      <c r="E4844" t="inlineStr">
        <is>
          <t>HÄSSLEHOLM</t>
        </is>
      </c>
      <c r="G4844" t="n">
        <v>0.5</v>
      </c>
      <c r="H4844" t="n">
        <v>0</v>
      </c>
      <c r="I4844" t="n">
        <v>0</v>
      </c>
      <c r="J4844" t="n">
        <v>0</v>
      </c>
      <c r="K4844" t="n">
        <v>0</v>
      </c>
      <c r="L4844" t="n">
        <v>0</v>
      </c>
      <c r="M4844" t="n">
        <v>0</v>
      </c>
      <c r="N4844" t="n">
        <v>0</v>
      </c>
      <c r="O4844" t="n">
        <v>0</v>
      </c>
      <c r="P4844" t="n">
        <v>0</v>
      </c>
      <c r="Q4844" t="n">
        <v>0</v>
      </c>
      <c r="R4844" s="2" t="inlineStr"/>
    </row>
    <row r="4845" ht="15" customHeight="1">
      <c r="A4845" t="inlineStr">
        <is>
          <t>A 50151-2025</t>
        </is>
      </c>
      <c r="B4845" s="1" t="n">
        <v>45943.5743287037</v>
      </c>
      <c r="C4845" s="1" t="n">
        <v>45962</v>
      </c>
      <c r="D4845" t="inlineStr">
        <is>
          <t>SKÅNE LÄN</t>
        </is>
      </c>
      <c r="E4845" t="inlineStr">
        <is>
          <t>KRISTIANSTAD</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41309-2025</t>
        </is>
      </c>
      <c r="B4846" s="1" t="n">
        <v>45898.74201388889</v>
      </c>
      <c r="C4846" s="1" t="n">
        <v>45962</v>
      </c>
      <c r="D4846" t="inlineStr">
        <is>
          <t>SKÅNE LÄN</t>
        </is>
      </c>
      <c r="E4846" t="inlineStr">
        <is>
          <t>BROMÖLLA</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4767-2023</t>
        </is>
      </c>
      <c r="B4847" s="1" t="n">
        <v>44957</v>
      </c>
      <c r="C4847" s="1" t="n">
        <v>45962</v>
      </c>
      <c r="D4847" t="inlineStr">
        <is>
          <t>SKÅNE LÄN</t>
        </is>
      </c>
      <c r="E4847" t="inlineStr">
        <is>
          <t>OSBY</t>
        </is>
      </c>
      <c r="G4847" t="n">
        <v>3.4</v>
      </c>
      <c r="H4847" t="n">
        <v>0</v>
      </c>
      <c r="I4847" t="n">
        <v>0</v>
      </c>
      <c r="J4847" t="n">
        <v>0</v>
      </c>
      <c r="K4847" t="n">
        <v>0</v>
      </c>
      <c r="L4847" t="n">
        <v>0</v>
      </c>
      <c r="M4847" t="n">
        <v>0</v>
      </c>
      <c r="N4847" t="n">
        <v>0</v>
      </c>
      <c r="O4847" t="n">
        <v>0</v>
      </c>
      <c r="P4847" t="n">
        <v>0</v>
      </c>
      <c r="Q4847" t="n">
        <v>0</v>
      </c>
      <c r="R4847" s="2" t="inlineStr"/>
    </row>
    <row r="4848" ht="15" customHeight="1">
      <c r="A4848" t="inlineStr">
        <is>
          <t>A 52930-2021</t>
        </is>
      </c>
      <c r="B4848" s="1" t="n">
        <v>44467</v>
      </c>
      <c r="C4848" s="1" t="n">
        <v>45962</v>
      </c>
      <c r="D4848" t="inlineStr">
        <is>
          <t>SKÅNE LÄN</t>
        </is>
      </c>
      <c r="E4848" t="inlineStr">
        <is>
          <t>ÖSTRA GÖINGE</t>
        </is>
      </c>
      <c r="G4848" t="n">
        <v>4</v>
      </c>
      <c r="H4848" t="n">
        <v>0</v>
      </c>
      <c r="I4848" t="n">
        <v>0</v>
      </c>
      <c r="J4848" t="n">
        <v>0</v>
      </c>
      <c r="K4848" t="n">
        <v>0</v>
      </c>
      <c r="L4848" t="n">
        <v>0</v>
      </c>
      <c r="M4848" t="n">
        <v>0</v>
      </c>
      <c r="N4848" t="n">
        <v>0</v>
      </c>
      <c r="O4848" t="n">
        <v>0</v>
      </c>
      <c r="P4848" t="n">
        <v>0</v>
      </c>
      <c r="Q4848" t="n">
        <v>0</v>
      </c>
      <c r="R4848" s="2" t="inlineStr"/>
    </row>
    <row r="4849" ht="15" customHeight="1">
      <c r="A4849" t="inlineStr">
        <is>
          <t>A 41359-2025</t>
        </is>
      </c>
      <c r="B4849" s="1" t="n">
        <v>45900.46728009259</v>
      </c>
      <c r="C4849" s="1" t="n">
        <v>45962</v>
      </c>
      <c r="D4849" t="inlineStr">
        <is>
          <t>SKÅNE LÄN</t>
        </is>
      </c>
      <c r="E4849" t="inlineStr">
        <is>
          <t>KRISTIANSTAD</t>
        </is>
      </c>
      <c r="G4849" t="n">
        <v>2</v>
      </c>
      <c r="H4849" t="n">
        <v>0</v>
      </c>
      <c r="I4849" t="n">
        <v>0</v>
      </c>
      <c r="J4849" t="n">
        <v>0</v>
      </c>
      <c r="K4849" t="n">
        <v>0</v>
      </c>
      <c r="L4849" t="n">
        <v>0</v>
      </c>
      <c r="M4849" t="n">
        <v>0</v>
      </c>
      <c r="N4849" t="n">
        <v>0</v>
      </c>
      <c r="O4849" t="n">
        <v>0</v>
      </c>
      <c r="P4849" t="n">
        <v>0</v>
      </c>
      <c r="Q4849" t="n">
        <v>0</v>
      </c>
      <c r="R4849" s="2" t="inlineStr"/>
    </row>
    <row r="4850" ht="15" customHeight="1">
      <c r="A4850" t="inlineStr">
        <is>
          <t>A 15812-2024</t>
        </is>
      </c>
      <c r="B4850" s="1" t="n">
        <v>45404.6669212963</v>
      </c>
      <c r="C4850" s="1" t="n">
        <v>45962</v>
      </c>
      <c r="D4850" t="inlineStr">
        <is>
          <t>SKÅNE LÄN</t>
        </is>
      </c>
      <c r="E4850" t="inlineStr">
        <is>
          <t>KLIPPAN</t>
        </is>
      </c>
      <c r="F4850" t="inlineStr">
        <is>
          <t>Sveaskog</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41401-2025</t>
        </is>
      </c>
      <c r="B4851" s="1" t="n">
        <v>45901</v>
      </c>
      <c r="C4851" s="1" t="n">
        <v>45962</v>
      </c>
      <c r="D4851" t="inlineStr">
        <is>
          <t>SKÅNE LÄN</t>
        </is>
      </c>
      <c r="E4851" t="inlineStr">
        <is>
          <t>HÄSSLEHOLM</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50173-2025</t>
        </is>
      </c>
      <c r="B4852" s="1" t="n">
        <v>45943.6071875</v>
      </c>
      <c r="C4852" s="1" t="n">
        <v>45962</v>
      </c>
      <c r="D4852" t="inlineStr">
        <is>
          <t>SKÅNE LÄN</t>
        </is>
      </c>
      <c r="E4852" t="inlineStr">
        <is>
          <t>KRISTIANSTAD</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46292-2025</t>
        </is>
      </c>
      <c r="B4853" s="1" t="n">
        <v>45925.39194444445</v>
      </c>
      <c r="C4853" s="1" t="n">
        <v>45962</v>
      </c>
      <c r="D4853" t="inlineStr">
        <is>
          <t>SKÅNE LÄN</t>
        </is>
      </c>
      <c r="E4853" t="inlineStr">
        <is>
          <t>PERSTORP</t>
        </is>
      </c>
      <c r="G4853" t="n">
        <v>2.6</v>
      </c>
      <c r="H4853" t="n">
        <v>0</v>
      </c>
      <c r="I4853" t="n">
        <v>0</v>
      </c>
      <c r="J4853" t="n">
        <v>0</v>
      </c>
      <c r="K4853" t="n">
        <v>0</v>
      </c>
      <c r="L4853" t="n">
        <v>0</v>
      </c>
      <c r="M4853" t="n">
        <v>0</v>
      </c>
      <c r="N4853" t="n">
        <v>0</v>
      </c>
      <c r="O4853" t="n">
        <v>0</v>
      </c>
      <c r="P4853" t="n">
        <v>0</v>
      </c>
      <c r="Q4853" t="n">
        <v>0</v>
      </c>
      <c r="R4853" s="2" t="inlineStr"/>
    </row>
    <row r="4854" ht="15" customHeight="1">
      <c r="A4854" t="inlineStr">
        <is>
          <t>A 49907-2025</t>
        </is>
      </c>
      <c r="B4854" s="1" t="n">
        <v>45940.59828703704</v>
      </c>
      <c r="C4854" s="1" t="n">
        <v>45962</v>
      </c>
      <c r="D4854" t="inlineStr">
        <is>
          <t>SKÅNE LÄN</t>
        </is>
      </c>
      <c r="E4854" t="inlineStr">
        <is>
          <t>PERSTORP</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49795-2025</t>
        </is>
      </c>
      <c r="B4855" s="1" t="n">
        <v>45939</v>
      </c>
      <c r="C4855" s="1" t="n">
        <v>45962</v>
      </c>
      <c r="D4855" t="inlineStr">
        <is>
          <t>SKÅNE LÄN</t>
        </is>
      </c>
      <c r="E4855" t="inlineStr">
        <is>
          <t>ÖSTRA GÖINGE</t>
        </is>
      </c>
      <c r="G4855" t="n">
        <v>0.7</v>
      </c>
      <c r="H4855" t="n">
        <v>0</v>
      </c>
      <c r="I4855" t="n">
        <v>0</v>
      </c>
      <c r="J4855" t="n">
        <v>0</v>
      </c>
      <c r="K4855" t="n">
        <v>0</v>
      </c>
      <c r="L4855" t="n">
        <v>0</v>
      </c>
      <c r="M4855" t="n">
        <v>0</v>
      </c>
      <c r="N4855" t="n">
        <v>0</v>
      </c>
      <c r="O4855" t="n">
        <v>0</v>
      </c>
      <c r="P4855" t="n">
        <v>0</v>
      </c>
      <c r="Q4855" t="n">
        <v>0</v>
      </c>
      <c r="R4855" s="2" t="inlineStr"/>
    </row>
    <row r="4856" ht="15" customHeight="1">
      <c r="A4856" t="inlineStr">
        <is>
          <t>A 41023-2025</t>
        </is>
      </c>
      <c r="B4856" s="1" t="n">
        <v>45898</v>
      </c>
      <c r="C4856" s="1" t="n">
        <v>45962</v>
      </c>
      <c r="D4856" t="inlineStr">
        <is>
          <t>SKÅNE LÄN</t>
        </is>
      </c>
      <c r="E4856" t="inlineStr">
        <is>
          <t>KRISTIANSTAD</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41361-2025</t>
        </is>
      </c>
      <c r="B4857" s="1" t="n">
        <v>45900.47006944445</v>
      </c>
      <c r="C4857" s="1" t="n">
        <v>45962</v>
      </c>
      <c r="D4857" t="inlineStr">
        <is>
          <t>SKÅNE LÄN</t>
        </is>
      </c>
      <c r="E4857" t="inlineStr">
        <is>
          <t>KRISTIANSTAD</t>
        </is>
      </c>
      <c r="G4857" t="n">
        <v>0.4</v>
      </c>
      <c r="H4857" t="n">
        <v>0</v>
      </c>
      <c r="I4857" t="n">
        <v>0</v>
      </c>
      <c r="J4857" t="n">
        <v>0</v>
      </c>
      <c r="K4857" t="n">
        <v>0</v>
      </c>
      <c r="L4857" t="n">
        <v>0</v>
      </c>
      <c r="M4857" t="n">
        <v>0</v>
      </c>
      <c r="N4857" t="n">
        <v>0</v>
      </c>
      <c r="O4857" t="n">
        <v>0</v>
      </c>
      <c r="P4857" t="n">
        <v>0</v>
      </c>
      <c r="Q4857" t="n">
        <v>0</v>
      </c>
      <c r="R4857" s="2" t="inlineStr"/>
    </row>
    <row r="4858" ht="15" customHeight="1">
      <c r="A4858" t="inlineStr">
        <is>
          <t>A 41363-2025</t>
        </is>
      </c>
      <c r="B4858" s="1" t="n">
        <v>45900.47556712963</v>
      </c>
      <c r="C4858" s="1" t="n">
        <v>45962</v>
      </c>
      <c r="D4858" t="inlineStr">
        <is>
          <t>SKÅNE LÄN</t>
        </is>
      </c>
      <c r="E4858" t="inlineStr">
        <is>
          <t>KRISTIANSTAD</t>
        </is>
      </c>
      <c r="G4858" t="n">
        <v>3</v>
      </c>
      <c r="H4858" t="n">
        <v>0</v>
      </c>
      <c r="I4858" t="n">
        <v>0</v>
      </c>
      <c r="J4858" t="n">
        <v>0</v>
      </c>
      <c r="K4858" t="n">
        <v>0</v>
      </c>
      <c r="L4858" t="n">
        <v>0</v>
      </c>
      <c r="M4858" t="n">
        <v>0</v>
      </c>
      <c r="N4858" t="n">
        <v>0</v>
      </c>
      <c r="O4858" t="n">
        <v>0</v>
      </c>
      <c r="P4858" t="n">
        <v>0</v>
      </c>
      <c r="Q4858" t="n">
        <v>0</v>
      </c>
      <c r="R4858" s="2" t="inlineStr"/>
    </row>
    <row r="4859" ht="15" customHeight="1">
      <c r="A4859" t="inlineStr">
        <is>
          <t>A 41912-2025</t>
        </is>
      </c>
      <c r="B4859" s="1" t="n">
        <v>45903.40931712963</v>
      </c>
      <c r="C4859" s="1" t="n">
        <v>45962</v>
      </c>
      <c r="D4859" t="inlineStr">
        <is>
          <t>SKÅNE LÄN</t>
        </is>
      </c>
      <c r="E4859" t="inlineStr">
        <is>
          <t>ÖRKELLJUNGA</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50200-2025</t>
        </is>
      </c>
      <c r="B4860" s="1" t="n">
        <v>45943.65060185185</v>
      </c>
      <c r="C4860" s="1" t="n">
        <v>45962</v>
      </c>
      <c r="D4860" t="inlineStr">
        <is>
          <t>SKÅNE LÄN</t>
        </is>
      </c>
      <c r="E4860" t="inlineStr">
        <is>
          <t>HÖRBY</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41887-2025</t>
        </is>
      </c>
      <c r="B4861" s="1" t="n">
        <v>45903.37215277777</v>
      </c>
      <c r="C4861" s="1" t="n">
        <v>45962</v>
      </c>
      <c r="D4861" t="inlineStr">
        <is>
          <t>SKÅNE LÄN</t>
        </is>
      </c>
      <c r="E4861" t="inlineStr">
        <is>
          <t>ÖRKELLJUNGA</t>
        </is>
      </c>
      <c r="G4861" t="n">
        <v>1</v>
      </c>
      <c r="H4861" t="n">
        <v>0</v>
      </c>
      <c r="I4861" t="n">
        <v>0</v>
      </c>
      <c r="J4861" t="n">
        <v>0</v>
      </c>
      <c r="K4861" t="n">
        <v>0</v>
      </c>
      <c r="L4861" t="n">
        <v>0</v>
      </c>
      <c r="M4861" t="n">
        <v>0</v>
      </c>
      <c r="N4861" t="n">
        <v>0</v>
      </c>
      <c r="O4861" t="n">
        <v>0</v>
      </c>
      <c r="P4861" t="n">
        <v>0</v>
      </c>
      <c r="Q4861" t="n">
        <v>0</v>
      </c>
      <c r="R4861" s="2" t="inlineStr"/>
    </row>
    <row r="4862" ht="15" customHeight="1">
      <c r="A4862" t="inlineStr">
        <is>
          <t>A 41926-2025</t>
        </is>
      </c>
      <c r="B4862" s="1" t="n">
        <v>45903.42753472222</v>
      </c>
      <c r="C4862" s="1" t="n">
        <v>45962</v>
      </c>
      <c r="D4862" t="inlineStr">
        <is>
          <t>SKÅNE LÄN</t>
        </is>
      </c>
      <c r="E4862" t="inlineStr">
        <is>
          <t>ÖRKELLJUNGA</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7077-2025</t>
        </is>
      </c>
      <c r="B4863" s="1" t="n">
        <v>45701.68670138889</v>
      </c>
      <c r="C4863" s="1" t="n">
        <v>45962</v>
      </c>
      <c r="D4863" t="inlineStr">
        <is>
          <t>SKÅNE LÄN</t>
        </is>
      </c>
      <c r="E4863" t="inlineStr">
        <is>
          <t>ÖSTRA GÖINGE</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50513-2025</t>
        </is>
      </c>
      <c r="B4864" s="1" t="n">
        <v>45945</v>
      </c>
      <c r="C4864" s="1" t="n">
        <v>45962</v>
      </c>
      <c r="D4864" t="inlineStr">
        <is>
          <t>SKÅNE LÄN</t>
        </is>
      </c>
      <c r="E4864" t="inlineStr">
        <is>
          <t>HÖÖR</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41654-2025</t>
        </is>
      </c>
      <c r="B4865" s="1" t="n">
        <v>45902</v>
      </c>
      <c r="C4865" s="1" t="n">
        <v>45962</v>
      </c>
      <c r="D4865" t="inlineStr">
        <is>
          <t>SKÅNE LÄN</t>
        </is>
      </c>
      <c r="E4865" t="inlineStr">
        <is>
          <t>OSBY</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38813-2025</t>
        </is>
      </c>
      <c r="B4866" s="1" t="n">
        <v>45887</v>
      </c>
      <c r="C4866" s="1" t="n">
        <v>45962</v>
      </c>
      <c r="D4866" t="inlineStr">
        <is>
          <t>SKÅNE LÄN</t>
        </is>
      </c>
      <c r="E4866" t="inlineStr">
        <is>
          <t>HÖÖR</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50676-2025</t>
        </is>
      </c>
      <c r="B4867" s="1" t="n">
        <v>45945</v>
      </c>
      <c r="C4867" s="1" t="n">
        <v>45962</v>
      </c>
      <c r="D4867" t="inlineStr">
        <is>
          <t>SKÅNE LÄN</t>
        </is>
      </c>
      <c r="E4867" t="inlineStr">
        <is>
          <t>HÄSSLEHOLM</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41636-2025</t>
        </is>
      </c>
      <c r="B4868" s="1" t="n">
        <v>45902.25947916666</v>
      </c>
      <c r="C4868" s="1" t="n">
        <v>45962</v>
      </c>
      <c r="D4868" t="inlineStr">
        <is>
          <t>SKÅNE LÄN</t>
        </is>
      </c>
      <c r="E4868" t="inlineStr">
        <is>
          <t>KRISTIANSTAD</t>
        </is>
      </c>
      <c r="G4868" t="n">
        <v>2.2</v>
      </c>
      <c r="H4868" t="n">
        <v>0</v>
      </c>
      <c r="I4868" t="n">
        <v>0</v>
      </c>
      <c r="J4868" t="n">
        <v>0</v>
      </c>
      <c r="K4868" t="n">
        <v>0</v>
      </c>
      <c r="L4868" t="n">
        <v>0</v>
      </c>
      <c r="M4868" t="n">
        <v>0</v>
      </c>
      <c r="N4868" t="n">
        <v>0</v>
      </c>
      <c r="O4868" t="n">
        <v>0</v>
      </c>
      <c r="P4868" t="n">
        <v>0</v>
      </c>
      <c r="Q4868" t="n">
        <v>0</v>
      </c>
      <c r="R4868" s="2" t="inlineStr"/>
    </row>
    <row r="4869" ht="15" customHeight="1">
      <c r="A4869" t="inlineStr">
        <is>
          <t>A 41803-2025</t>
        </is>
      </c>
      <c r="B4869" s="1" t="n">
        <v>45902.63017361111</v>
      </c>
      <c r="C4869" s="1" t="n">
        <v>45962</v>
      </c>
      <c r="D4869" t="inlineStr">
        <is>
          <t>SKÅNE LÄN</t>
        </is>
      </c>
      <c r="E4869" t="inlineStr">
        <is>
          <t>ESLÖV</t>
        </is>
      </c>
      <c r="G4869" t="n">
        <v>1.3</v>
      </c>
      <c r="H4869" t="n">
        <v>0</v>
      </c>
      <c r="I4869" t="n">
        <v>0</v>
      </c>
      <c r="J4869" t="n">
        <v>0</v>
      </c>
      <c r="K4869" t="n">
        <v>0</v>
      </c>
      <c r="L4869" t="n">
        <v>0</v>
      </c>
      <c r="M4869" t="n">
        <v>0</v>
      </c>
      <c r="N4869" t="n">
        <v>0</v>
      </c>
      <c r="O4869" t="n">
        <v>0</v>
      </c>
      <c r="P4869" t="n">
        <v>0</v>
      </c>
      <c r="Q4869" t="n">
        <v>0</v>
      </c>
      <c r="R4869" s="2" t="inlineStr"/>
    </row>
    <row r="4870" ht="15" customHeight="1">
      <c r="A4870" t="inlineStr">
        <is>
          <t>A 42317-2024</t>
        </is>
      </c>
      <c r="B4870" s="1" t="n">
        <v>45562.64423611111</v>
      </c>
      <c r="C4870" s="1" t="n">
        <v>45962</v>
      </c>
      <c r="D4870" t="inlineStr">
        <is>
          <t>SKÅNE LÄN</t>
        </is>
      </c>
      <c r="E4870" t="inlineStr">
        <is>
          <t>ÖSTRA GÖINGE</t>
        </is>
      </c>
      <c r="F4870" t="inlineStr">
        <is>
          <t>Sveaskog</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49801-2025</t>
        </is>
      </c>
      <c r="B4871" s="1" t="n">
        <v>45939</v>
      </c>
      <c r="C4871" s="1" t="n">
        <v>45962</v>
      </c>
      <c r="D4871" t="inlineStr">
        <is>
          <t>SKÅNE LÄN</t>
        </is>
      </c>
      <c r="E4871" t="inlineStr">
        <is>
          <t>ÖSTRA GÖINGE</t>
        </is>
      </c>
      <c r="G4871" t="n">
        <v>1.2</v>
      </c>
      <c r="H4871" t="n">
        <v>0</v>
      </c>
      <c r="I4871" t="n">
        <v>0</v>
      </c>
      <c r="J4871" t="n">
        <v>0</v>
      </c>
      <c r="K4871" t="n">
        <v>0</v>
      </c>
      <c r="L4871" t="n">
        <v>0</v>
      </c>
      <c r="M4871" t="n">
        <v>0</v>
      </c>
      <c r="N4871" t="n">
        <v>0</v>
      </c>
      <c r="O4871" t="n">
        <v>0</v>
      </c>
      <c r="P4871" t="n">
        <v>0</v>
      </c>
      <c r="Q4871" t="n">
        <v>0</v>
      </c>
      <c r="R4871" s="2" t="inlineStr"/>
    </row>
    <row r="4872" ht="15" customHeight="1">
      <c r="A4872" t="inlineStr">
        <is>
          <t>A 42323-2025</t>
        </is>
      </c>
      <c r="B4872" s="1" t="n">
        <v>45903</v>
      </c>
      <c r="C4872" s="1" t="n">
        <v>45962</v>
      </c>
      <c r="D4872" t="inlineStr">
        <is>
          <t>SKÅNE LÄN</t>
        </is>
      </c>
      <c r="E4872" t="inlineStr">
        <is>
          <t>SJÖBO</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43466-2025</t>
        </is>
      </c>
      <c r="B4873" s="1" t="n">
        <v>45911</v>
      </c>
      <c r="C4873" s="1" t="n">
        <v>45962</v>
      </c>
      <c r="D4873" t="inlineStr">
        <is>
          <t>SKÅNE LÄN</t>
        </is>
      </c>
      <c r="E4873" t="inlineStr">
        <is>
          <t>SVALÖV</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50677-2025</t>
        </is>
      </c>
      <c r="B4874" s="1" t="n">
        <v>45945</v>
      </c>
      <c r="C4874" s="1" t="n">
        <v>45962</v>
      </c>
      <c r="D4874" t="inlineStr">
        <is>
          <t>SKÅNE LÄN</t>
        </is>
      </c>
      <c r="E4874" t="inlineStr">
        <is>
          <t>HÄSSLEHOLM</t>
        </is>
      </c>
      <c r="G4874" t="n">
        <v>2.3</v>
      </c>
      <c r="H4874" t="n">
        <v>0</v>
      </c>
      <c r="I4874" t="n">
        <v>0</v>
      </c>
      <c r="J4874" t="n">
        <v>0</v>
      </c>
      <c r="K4874" t="n">
        <v>0</v>
      </c>
      <c r="L4874" t="n">
        <v>0</v>
      </c>
      <c r="M4874" t="n">
        <v>0</v>
      </c>
      <c r="N4874" t="n">
        <v>0</v>
      </c>
      <c r="O4874" t="n">
        <v>0</v>
      </c>
      <c r="P4874" t="n">
        <v>0</v>
      </c>
      <c r="Q4874" t="n">
        <v>0</v>
      </c>
      <c r="R4874" s="2" t="inlineStr"/>
    </row>
    <row r="4875" ht="15" customHeight="1">
      <c r="A4875" t="inlineStr">
        <is>
          <t>A 41635-2025</t>
        </is>
      </c>
      <c r="B4875" s="1" t="n">
        <v>45902.25789351852</v>
      </c>
      <c r="C4875" s="1" t="n">
        <v>45962</v>
      </c>
      <c r="D4875" t="inlineStr">
        <is>
          <t>SKÅNE LÄN</t>
        </is>
      </c>
      <c r="E4875" t="inlineStr">
        <is>
          <t>KRISTIANSTAD</t>
        </is>
      </c>
      <c r="G4875" t="n">
        <v>1.7</v>
      </c>
      <c r="H4875" t="n">
        <v>0</v>
      </c>
      <c r="I4875" t="n">
        <v>0</v>
      </c>
      <c r="J4875" t="n">
        <v>0</v>
      </c>
      <c r="K4875" t="n">
        <v>0</v>
      </c>
      <c r="L4875" t="n">
        <v>0</v>
      </c>
      <c r="M4875" t="n">
        <v>0</v>
      </c>
      <c r="N4875" t="n">
        <v>0</v>
      </c>
      <c r="O4875" t="n">
        <v>0</v>
      </c>
      <c r="P4875" t="n">
        <v>0</v>
      </c>
      <c r="Q4875" t="n">
        <v>0</v>
      </c>
      <c r="R4875" s="2" t="inlineStr"/>
    </row>
    <row r="4876" ht="15" customHeight="1">
      <c r="A4876" t="inlineStr">
        <is>
          <t>A 50658-2025</t>
        </is>
      </c>
      <c r="B4876" s="1" t="n">
        <v>45945.68832175926</v>
      </c>
      <c r="C4876" s="1" t="n">
        <v>45962</v>
      </c>
      <c r="D4876" t="inlineStr">
        <is>
          <t>SKÅNE LÄN</t>
        </is>
      </c>
      <c r="E4876" t="inlineStr">
        <is>
          <t>KRISTIANSTAD</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51078-2025</t>
        </is>
      </c>
      <c r="B4877" s="1" t="n">
        <v>45947.46304398148</v>
      </c>
      <c r="C4877" s="1" t="n">
        <v>45962</v>
      </c>
      <c r="D4877" t="inlineStr">
        <is>
          <t>SKÅNE LÄN</t>
        </is>
      </c>
      <c r="E4877" t="inlineStr">
        <is>
          <t>BROMÖLLA</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50816-2025</t>
        </is>
      </c>
      <c r="B4878" s="1" t="n">
        <v>45946.53009259259</v>
      </c>
      <c r="C4878" s="1" t="n">
        <v>45962</v>
      </c>
      <c r="D4878" t="inlineStr">
        <is>
          <t>SKÅNE LÄN</t>
        </is>
      </c>
      <c r="E4878" t="inlineStr">
        <is>
          <t>SJÖBO</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50872-2025</t>
        </is>
      </c>
      <c r="B4879" s="1" t="n">
        <v>45946</v>
      </c>
      <c r="C4879" s="1" t="n">
        <v>45962</v>
      </c>
      <c r="D4879" t="inlineStr">
        <is>
          <t>SKÅNE LÄN</t>
        </is>
      </c>
      <c r="E4879" t="inlineStr">
        <is>
          <t>HÄSSLEHOLM</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42570-2025</t>
        </is>
      </c>
      <c r="B4880" s="1" t="n">
        <v>45905.60903935185</v>
      </c>
      <c r="C4880" s="1" t="n">
        <v>45962</v>
      </c>
      <c r="D4880" t="inlineStr">
        <is>
          <t>SKÅNE LÄN</t>
        </is>
      </c>
      <c r="E4880" t="inlineStr">
        <is>
          <t>OSBY</t>
        </is>
      </c>
      <c r="G4880" t="n">
        <v>4</v>
      </c>
      <c r="H4880" t="n">
        <v>0</v>
      </c>
      <c r="I4880" t="n">
        <v>0</v>
      </c>
      <c r="J4880" t="n">
        <v>0</v>
      </c>
      <c r="K4880" t="n">
        <v>0</v>
      </c>
      <c r="L4880" t="n">
        <v>0</v>
      </c>
      <c r="M4880" t="n">
        <v>0</v>
      </c>
      <c r="N4880" t="n">
        <v>0</v>
      </c>
      <c r="O4880" t="n">
        <v>0</v>
      </c>
      <c r="P4880" t="n">
        <v>0</v>
      </c>
      <c r="Q4880" t="n">
        <v>0</v>
      </c>
      <c r="R4880" s="2" t="inlineStr"/>
    </row>
    <row r="4881" ht="15" customHeight="1">
      <c r="A4881" t="inlineStr">
        <is>
          <t>A 42599-2025</t>
        </is>
      </c>
      <c r="B4881" s="1" t="n">
        <v>45905.66563657407</v>
      </c>
      <c r="C4881" s="1" t="n">
        <v>45962</v>
      </c>
      <c r="D4881" t="inlineStr">
        <is>
          <t>SKÅNE LÄN</t>
        </is>
      </c>
      <c r="E4881" t="inlineStr">
        <is>
          <t>SJÖBO</t>
        </is>
      </c>
      <c r="G4881" t="n">
        <v>9.800000000000001</v>
      </c>
      <c r="H4881" t="n">
        <v>0</v>
      </c>
      <c r="I4881" t="n">
        <v>0</v>
      </c>
      <c r="J4881" t="n">
        <v>0</v>
      </c>
      <c r="K4881" t="n">
        <v>0</v>
      </c>
      <c r="L4881" t="n">
        <v>0</v>
      </c>
      <c r="M4881" t="n">
        <v>0</v>
      </c>
      <c r="N4881" t="n">
        <v>0</v>
      </c>
      <c r="O4881" t="n">
        <v>0</v>
      </c>
      <c r="P4881" t="n">
        <v>0</v>
      </c>
      <c r="Q4881" t="n">
        <v>0</v>
      </c>
      <c r="R4881" s="2" t="inlineStr"/>
    </row>
    <row r="4882" ht="15" customHeight="1">
      <c r="A4882" t="inlineStr">
        <is>
          <t>A 42520-2025</t>
        </is>
      </c>
      <c r="B4882" s="1" t="n">
        <v>45905.54846064815</v>
      </c>
      <c r="C4882" s="1" t="n">
        <v>45962</v>
      </c>
      <c r="D4882" t="inlineStr">
        <is>
          <t>SKÅNE LÄN</t>
        </is>
      </c>
      <c r="E4882" t="inlineStr">
        <is>
          <t>HÄSSLEHOLM</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42567-2025</t>
        </is>
      </c>
      <c r="B4883" s="1" t="n">
        <v>45905.60511574074</v>
      </c>
      <c r="C4883" s="1" t="n">
        <v>45962</v>
      </c>
      <c r="D4883" t="inlineStr">
        <is>
          <t>SKÅNE LÄN</t>
        </is>
      </c>
      <c r="E4883" t="inlineStr">
        <is>
          <t>OSBY</t>
        </is>
      </c>
      <c r="G4883" t="n">
        <v>2.3</v>
      </c>
      <c r="H4883" t="n">
        <v>0</v>
      </c>
      <c r="I4883" t="n">
        <v>0</v>
      </c>
      <c r="J4883" t="n">
        <v>0</v>
      </c>
      <c r="K4883" t="n">
        <v>0</v>
      </c>
      <c r="L4883" t="n">
        <v>0</v>
      </c>
      <c r="M4883" t="n">
        <v>0</v>
      </c>
      <c r="N4883" t="n">
        <v>0</v>
      </c>
      <c r="O4883" t="n">
        <v>0</v>
      </c>
      <c r="P4883" t="n">
        <v>0</v>
      </c>
      <c r="Q4883" t="n">
        <v>0</v>
      </c>
      <c r="R4883" s="2" t="inlineStr"/>
    </row>
    <row r="4884" ht="15" customHeight="1">
      <c r="A4884" t="inlineStr">
        <is>
          <t>A 46138-2025</t>
        </is>
      </c>
      <c r="B4884" s="1" t="n">
        <v>45924.59914351852</v>
      </c>
      <c r="C4884" s="1" t="n">
        <v>45962</v>
      </c>
      <c r="D4884" t="inlineStr">
        <is>
          <t>SKÅNE LÄN</t>
        </is>
      </c>
      <c r="E4884" t="inlineStr">
        <is>
          <t>KLIPPAN</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51024-2025</t>
        </is>
      </c>
      <c r="B4885" s="1" t="n">
        <v>45947.395</v>
      </c>
      <c r="C4885" s="1" t="n">
        <v>45962</v>
      </c>
      <c r="D4885" t="inlineStr">
        <is>
          <t>SKÅNE LÄN</t>
        </is>
      </c>
      <c r="E4885" t="inlineStr">
        <is>
          <t>HÄSSLEHOLM</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50702-2025</t>
        </is>
      </c>
      <c r="B4886" s="1" t="n">
        <v>45946</v>
      </c>
      <c r="C4886" s="1" t="n">
        <v>45962</v>
      </c>
      <c r="D4886" t="inlineStr">
        <is>
          <t>SKÅNE LÄN</t>
        </is>
      </c>
      <c r="E4886" t="inlineStr">
        <is>
          <t>KRISTIANSTAD</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51097-2025</t>
        </is>
      </c>
      <c r="B4887" s="1" t="n">
        <v>45947.48018518519</v>
      </c>
      <c r="C4887" s="1" t="n">
        <v>45962</v>
      </c>
      <c r="D4887" t="inlineStr">
        <is>
          <t>SKÅNE LÄN</t>
        </is>
      </c>
      <c r="E4887" t="inlineStr">
        <is>
          <t>HÄSSLEHOLM</t>
        </is>
      </c>
      <c r="G4887" t="n">
        <v>0.8</v>
      </c>
      <c r="H4887" t="n">
        <v>0</v>
      </c>
      <c r="I4887" t="n">
        <v>0</v>
      </c>
      <c r="J4887" t="n">
        <v>0</v>
      </c>
      <c r="K4887" t="n">
        <v>0</v>
      </c>
      <c r="L4887" t="n">
        <v>0</v>
      </c>
      <c r="M4887" t="n">
        <v>0</v>
      </c>
      <c r="N4887" t="n">
        <v>0</v>
      </c>
      <c r="O4887" t="n">
        <v>0</v>
      </c>
      <c r="P4887" t="n">
        <v>0</v>
      </c>
      <c r="Q4887" t="n">
        <v>0</v>
      </c>
      <c r="R4887" s="2" t="inlineStr"/>
    </row>
    <row r="4888" ht="15" customHeight="1">
      <c r="A4888" t="inlineStr">
        <is>
          <t>A 42610-2025</t>
        </is>
      </c>
      <c r="B4888" s="1" t="n">
        <v>45905</v>
      </c>
      <c r="C4888" s="1" t="n">
        <v>45962</v>
      </c>
      <c r="D4888" t="inlineStr">
        <is>
          <t>SKÅNE LÄN</t>
        </is>
      </c>
      <c r="E4888" t="inlineStr">
        <is>
          <t>OSBY</t>
        </is>
      </c>
      <c r="F4888" t="inlineStr">
        <is>
          <t>Kyrkan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15158-2025</t>
        </is>
      </c>
      <c r="B4889" s="1" t="n">
        <v>45744</v>
      </c>
      <c r="C4889" s="1" t="n">
        <v>45962</v>
      </c>
      <c r="D4889" t="inlineStr">
        <is>
          <t>SKÅNE LÄN</t>
        </is>
      </c>
      <c r="E4889" t="inlineStr">
        <is>
          <t>TOMELILLA</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42565-2025</t>
        </is>
      </c>
      <c r="B4890" s="1" t="n">
        <v>45905.6021412037</v>
      </c>
      <c r="C4890" s="1" t="n">
        <v>45962</v>
      </c>
      <c r="D4890" t="inlineStr">
        <is>
          <t>SKÅNE LÄN</t>
        </is>
      </c>
      <c r="E4890" t="inlineStr">
        <is>
          <t>OSBY</t>
        </is>
      </c>
      <c r="G4890" t="n">
        <v>3.1</v>
      </c>
      <c r="H4890" t="n">
        <v>0</v>
      </c>
      <c r="I4890" t="n">
        <v>0</v>
      </c>
      <c r="J4890" t="n">
        <v>0</v>
      </c>
      <c r="K4890" t="n">
        <v>0</v>
      </c>
      <c r="L4890" t="n">
        <v>0</v>
      </c>
      <c r="M4890" t="n">
        <v>0</v>
      </c>
      <c r="N4890" t="n">
        <v>0</v>
      </c>
      <c r="O4890" t="n">
        <v>0</v>
      </c>
      <c r="P4890" t="n">
        <v>0</v>
      </c>
      <c r="Q4890" t="n">
        <v>0</v>
      </c>
      <c r="R4890" s="2" t="inlineStr"/>
    </row>
    <row r="4891" ht="15" customHeight="1">
      <c r="A4891" t="inlineStr">
        <is>
          <t>A 50678-2025</t>
        </is>
      </c>
      <c r="B4891" s="1" t="n">
        <v>45945</v>
      </c>
      <c r="C4891" s="1" t="n">
        <v>45962</v>
      </c>
      <c r="D4891" t="inlineStr">
        <is>
          <t>SKÅNE LÄN</t>
        </is>
      </c>
      <c r="E4891" t="inlineStr">
        <is>
          <t>HÄSSLEHOLM</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50699-2025</t>
        </is>
      </c>
      <c r="B4892" s="1" t="n">
        <v>45945</v>
      </c>
      <c r="C4892" s="1" t="n">
        <v>45962</v>
      </c>
      <c r="D4892" t="inlineStr">
        <is>
          <t>SKÅNE LÄN</t>
        </is>
      </c>
      <c r="E4892" t="inlineStr">
        <is>
          <t>KRISTIANSTAD</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50655-2025</t>
        </is>
      </c>
      <c r="B4893" s="1" t="n">
        <v>45945.68521990741</v>
      </c>
      <c r="C4893" s="1" t="n">
        <v>45962</v>
      </c>
      <c r="D4893" t="inlineStr">
        <is>
          <t>SKÅNE LÄN</t>
        </is>
      </c>
      <c r="E4893" t="inlineStr">
        <is>
          <t>KRISTIANSTAD</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50762-2025</t>
        </is>
      </c>
      <c r="B4894" s="1" t="n">
        <v>45946</v>
      </c>
      <c r="C4894" s="1" t="n">
        <v>45962</v>
      </c>
      <c r="D4894" t="inlineStr">
        <is>
          <t>SKÅNE LÄN</t>
        </is>
      </c>
      <c r="E4894" t="inlineStr">
        <is>
          <t>ÅSTORP</t>
        </is>
      </c>
      <c r="G4894" t="n">
        <v>2.7</v>
      </c>
      <c r="H4894" t="n">
        <v>0</v>
      </c>
      <c r="I4894" t="n">
        <v>0</v>
      </c>
      <c r="J4894" t="n">
        <v>0</v>
      </c>
      <c r="K4894" t="n">
        <v>0</v>
      </c>
      <c r="L4894" t="n">
        <v>0</v>
      </c>
      <c r="M4894" t="n">
        <v>0</v>
      </c>
      <c r="N4894" t="n">
        <v>0</v>
      </c>
      <c r="O4894" t="n">
        <v>0</v>
      </c>
      <c r="P4894" t="n">
        <v>0</v>
      </c>
      <c r="Q4894" t="n">
        <v>0</v>
      </c>
      <c r="R4894" s="2" t="inlineStr"/>
    </row>
    <row r="4895" ht="15" customHeight="1">
      <c r="A4895" t="inlineStr">
        <is>
          <t>A 50781-2025</t>
        </is>
      </c>
      <c r="B4895" s="1" t="n">
        <v>45946</v>
      </c>
      <c r="C4895" s="1" t="n">
        <v>45962</v>
      </c>
      <c r="D4895" t="inlineStr">
        <is>
          <t>SKÅNE LÄN</t>
        </is>
      </c>
      <c r="E4895" t="inlineStr">
        <is>
          <t>KLIPPAN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42423-2025</t>
        </is>
      </c>
      <c r="B4896" s="1" t="n">
        <v>45905.41005787037</v>
      </c>
      <c r="C4896" s="1" t="n">
        <v>45962</v>
      </c>
      <c r="D4896" t="inlineStr">
        <is>
          <t>SKÅNE LÄN</t>
        </is>
      </c>
      <c r="E4896" t="inlineStr">
        <is>
          <t>KLIPPAN</t>
        </is>
      </c>
      <c r="F4896" t="inlineStr">
        <is>
          <t>Sveaskog</t>
        </is>
      </c>
      <c r="G4896" t="n">
        <v>4.9</v>
      </c>
      <c r="H4896" t="n">
        <v>0</v>
      </c>
      <c r="I4896" t="n">
        <v>0</v>
      </c>
      <c r="J4896" t="n">
        <v>0</v>
      </c>
      <c r="K4896" t="n">
        <v>0</v>
      </c>
      <c r="L4896" t="n">
        <v>0</v>
      </c>
      <c r="M4896" t="n">
        <v>0</v>
      </c>
      <c r="N4896" t="n">
        <v>0</v>
      </c>
      <c r="O4896" t="n">
        <v>0</v>
      </c>
      <c r="P4896" t="n">
        <v>0</v>
      </c>
      <c r="Q4896" t="n">
        <v>0</v>
      </c>
      <c r="R4896" s="2" t="inlineStr"/>
    </row>
    <row r="4897" ht="15" customHeight="1">
      <c r="A4897" t="inlineStr">
        <is>
          <t>A 47356-2025</t>
        </is>
      </c>
      <c r="B4897" s="1" t="n">
        <v>45930</v>
      </c>
      <c r="C4897" s="1" t="n">
        <v>45962</v>
      </c>
      <c r="D4897" t="inlineStr">
        <is>
          <t>SKÅNE LÄN</t>
        </is>
      </c>
      <c r="E4897" t="inlineStr">
        <is>
          <t>ESLÖV</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42614-2025</t>
        </is>
      </c>
      <c r="B4898" s="1" t="n">
        <v>45905</v>
      </c>
      <c r="C4898" s="1" t="n">
        <v>45962</v>
      </c>
      <c r="D4898" t="inlineStr">
        <is>
          <t>SKÅNE LÄN</t>
        </is>
      </c>
      <c r="E4898" t="inlineStr">
        <is>
          <t>OSBY</t>
        </is>
      </c>
      <c r="F4898" t="inlineStr">
        <is>
          <t>Kyrkan</t>
        </is>
      </c>
      <c r="G4898" t="n">
        <v>4</v>
      </c>
      <c r="H4898" t="n">
        <v>0</v>
      </c>
      <c r="I4898" t="n">
        <v>0</v>
      </c>
      <c r="J4898" t="n">
        <v>0</v>
      </c>
      <c r="K4898" t="n">
        <v>0</v>
      </c>
      <c r="L4898" t="n">
        <v>0</v>
      </c>
      <c r="M4898" t="n">
        <v>0</v>
      </c>
      <c r="N4898" t="n">
        <v>0</v>
      </c>
      <c r="O4898" t="n">
        <v>0</v>
      </c>
      <c r="P4898" t="n">
        <v>0</v>
      </c>
      <c r="Q4898" t="n">
        <v>0</v>
      </c>
      <c r="R4898" s="2" t="inlineStr"/>
    </row>
    <row r="4899" ht="15" customHeight="1">
      <c r="A4899" t="inlineStr">
        <is>
          <t>A 50829-2025</t>
        </is>
      </c>
      <c r="B4899" s="1" t="n">
        <v>45946.55309027778</v>
      </c>
      <c r="C4899" s="1" t="n">
        <v>45962</v>
      </c>
      <c r="D4899" t="inlineStr">
        <is>
          <t>SKÅNE LÄN</t>
        </is>
      </c>
      <c r="E4899" t="inlineStr">
        <is>
          <t>HÄSSLEHOLM</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50834-2025</t>
        </is>
      </c>
      <c r="B4900" s="1" t="n">
        <v>45946.55746527778</v>
      </c>
      <c r="C4900" s="1" t="n">
        <v>45962</v>
      </c>
      <c r="D4900" t="inlineStr">
        <is>
          <t>SKÅNE LÄN</t>
        </is>
      </c>
      <c r="E4900" t="inlineStr">
        <is>
          <t>HÄSSLEHOLM</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42400-2025</t>
        </is>
      </c>
      <c r="B4901" s="1" t="n">
        <v>45905.3710300926</v>
      </c>
      <c r="C4901" s="1" t="n">
        <v>45962</v>
      </c>
      <c r="D4901" t="inlineStr">
        <is>
          <t>SKÅNE LÄN</t>
        </is>
      </c>
      <c r="E4901" t="inlineStr">
        <is>
          <t>OSBY</t>
        </is>
      </c>
      <c r="G4901" t="n">
        <v>2.7</v>
      </c>
      <c r="H4901" t="n">
        <v>0</v>
      </c>
      <c r="I4901" t="n">
        <v>0</v>
      </c>
      <c r="J4901" t="n">
        <v>0</v>
      </c>
      <c r="K4901" t="n">
        <v>0</v>
      </c>
      <c r="L4901" t="n">
        <v>0</v>
      </c>
      <c r="M4901" t="n">
        <v>0</v>
      </c>
      <c r="N4901" t="n">
        <v>0</v>
      </c>
      <c r="O4901" t="n">
        <v>0</v>
      </c>
      <c r="P4901" t="n">
        <v>0</v>
      </c>
      <c r="Q4901" t="n">
        <v>0</v>
      </c>
      <c r="R4901" s="2" t="inlineStr"/>
    </row>
    <row r="4902" ht="15" customHeight="1">
      <c r="A4902" t="inlineStr">
        <is>
          <t>A 47176-2025</t>
        </is>
      </c>
      <c r="B4902" s="1" t="n">
        <v>45930</v>
      </c>
      <c r="C4902" s="1" t="n">
        <v>45962</v>
      </c>
      <c r="D4902" t="inlineStr">
        <is>
          <t>SKÅNE LÄN</t>
        </is>
      </c>
      <c r="E4902" t="inlineStr">
        <is>
          <t>ÄNGELHOLM</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41358-2025</t>
        </is>
      </c>
      <c r="B4903" s="1" t="n">
        <v>45900.46421296296</v>
      </c>
      <c r="C4903" s="1" t="n">
        <v>45962</v>
      </c>
      <c r="D4903" t="inlineStr">
        <is>
          <t>SKÅNE LÄN</t>
        </is>
      </c>
      <c r="E4903" t="inlineStr">
        <is>
          <t>KRISTIANSTAD</t>
        </is>
      </c>
      <c r="G4903" t="n">
        <v>3.2</v>
      </c>
      <c r="H4903" t="n">
        <v>0</v>
      </c>
      <c r="I4903" t="n">
        <v>0</v>
      </c>
      <c r="J4903" t="n">
        <v>0</v>
      </c>
      <c r="K4903" t="n">
        <v>0</v>
      </c>
      <c r="L4903" t="n">
        <v>0</v>
      </c>
      <c r="M4903" t="n">
        <v>0</v>
      </c>
      <c r="N4903" t="n">
        <v>0</v>
      </c>
      <c r="O4903" t="n">
        <v>0</v>
      </c>
      <c r="P4903" t="n">
        <v>0</v>
      </c>
      <c r="Q4903" t="n">
        <v>0</v>
      </c>
      <c r="R4903" s="2" t="inlineStr"/>
    </row>
    <row r="4904" ht="15" customHeight="1">
      <c r="A4904" t="inlineStr">
        <is>
          <t>A 47116-2025</t>
        </is>
      </c>
      <c r="B4904" s="1" t="n">
        <v>45929.67606481481</v>
      </c>
      <c r="C4904" s="1" t="n">
        <v>45962</v>
      </c>
      <c r="D4904" t="inlineStr">
        <is>
          <t>SKÅNE LÄN</t>
        </is>
      </c>
      <c r="E4904" t="inlineStr">
        <is>
          <t>ÄNGELHOLM</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50659-2025</t>
        </is>
      </c>
      <c r="B4905" s="1" t="n">
        <v>45945.68895833333</v>
      </c>
      <c r="C4905" s="1" t="n">
        <v>45962</v>
      </c>
      <c r="D4905" t="inlineStr">
        <is>
          <t>SKÅNE LÄN</t>
        </is>
      </c>
      <c r="E4905" t="inlineStr">
        <is>
          <t>KRISTIANSTAD</t>
        </is>
      </c>
      <c r="G4905" t="n">
        <v>2.2</v>
      </c>
      <c r="H4905" t="n">
        <v>0</v>
      </c>
      <c r="I4905" t="n">
        <v>0</v>
      </c>
      <c r="J4905" t="n">
        <v>0</v>
      </c>
      <c r="K4905" t="n">
        <v>0</v>
      </c>
      <c r="L4905" t="n">
        <v>0</v>
      </c>
      <c r="M4905" t="n">
        <v>0</v>
      </c>
      <c r="N4905" t="n">
        <v>0</v>
      </c>
      <c r="O4905" t="n">
        <v>0</v>
      </c>
      <c r="P4905" t="n">
        <v>0</v>
      </c>
      <c r="Q4905" t="n">
        <v>0</v>
      </c>
      <c r="R4905" s="2" t="inlineStr"/>
    </row>
    <row r="4906" ht="15" customHeight="1">
      <c r="A4906" t="inlineStr">
        <is>
          <t>A 50660-2025</t>
        </is>
      </c>
      <c r="B4906" s="1" t="n">
        <v>45945.68956018519</v>
      </c>
      <c r="C4906" s="1" t="n">
        <v>45962</v>
      </c>
      <c r="D4906" t="inlineStr">
        <is>
          <t>SKÅNE LÄN</t>
        </is>
      </c>
      <c r="E4906" t="inlineStr">
        <is>
          <t>KRISTIANSTAD</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50839-2025</t>
        </is>
      </c>
      <c r="B4907" s="1" t="n">
        <v>45946</v>
      </c>
      <c r="C4907" s="1" t="n">
        <v>45962</v>
      </c>
      <c r="D4907" t="inlineStr">
        <is>
          <t>SKÅNE LÄN</t>
        </is>
      </c>
      <c r="E4907" t="inlineStr">
        <is>
          <t>HÄSSLEHOLM</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50815-2025</t>
        </is>
      </c>
      <c r="B4908" s="1" t="n">
        <v>45946.52924768518</v>
      </c>
      <c r="C4908" s="1" t="n">
        <v>45962</v>
      </c>
      <c r="D4908" t="inlineStr">
        <is>
          <t>SKÅNE LÄN</t>
        </is>
      </c>
      <c r="E4908" t="inlineStr">
        <is>
          <t>SJÖBO</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42627-2025</t>
        </is>
      </c>
      <c r="B4909" s="1" t="n">
        <v>45905.77766203704</v>
      </c>
      <c r="C4909" s="1" t="n">
        <v>45962</v>
      </c>
      <c r="D4909" t="inlineStr">
        <is>
          <t>SKÅNE LÄN</t>
        </is>
      </c>
      <c r="E4909" t="inlineStr">
        <is>
          <t>KLIPPAN</t>
        </is>
      </c>
      <c r="G4909" t="n">
        <v>1.8</v>
      </c>
      <c r="H4909" t="n">
        <v>0</v>
      </c>
      <c r="I4909" t="n">
        <v>0</v>
      </c>
      <c r="J4909" t="n">
        <v>0</v>
      </c>
      <c r="K4909" t="n">
        <v>0</v>
      </c>
      <c r="L4909" t="n">
        <v>0</v>
      </c>
      <c r="M4909" t="n">
        <v>0</v>
      </c>
      <c r="N4909" t="n">
        <v>0</v>
      </c>
      <c r="O4909" t="n">
        <v>0</v>
      </c>
      <c r="P4909" t="n">
        <v>0</v>
      </c>
      <c r="Q4909" t="n">
        <v>0</v>
      </c>
      <c r="R4909" s="2" t="inlineStr"/>
    </row>
    <row r="4910" ht="15" customHeight="1">
      <c r="A4910" t="inlineStr">
        <is>
          <t>A 49135-2025</t>
        </is>
      </c>
      <c r="B4910" s="1" t="n">
        <v>45938.00990740741</v>
      </c>
      <c r="C4910" s="1" t="n">
        <v>45962</v>
      </c>
      <c r="D4910" t="inlineStr">
        <is>
          <t>SKÅNE LÄN</t>
        </is>
      </c>
      <c r="E4910" t="inlineStr">
        <is>
          <t>HÄSSLEHOLM</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51232-2025</t>
        </is>
      </c>
      <c r="B4911" s="1" t="n">
        <v>45947</v>
      </c>
      <c r="C4911" s="1" t="n">
        <v>45962</v>
      </c>
      <c r="D4911" t="inlineStr">
        <is>
          <t>SKÅNE LÄN</t>
        </is>
      </c>
      <c r="E4911" t="inlineStr">
        <is>
          <t>HÖÖR</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51324-2025</t>
        </is>
      </c>
      <c r="B4912" s="1" t="n">
        <v>45950.395</v>
      </c>
      <c r="C4912" s="1" t="n">
        <v>45962</v>
      </c>
      <c r="D4912" t="inlineStr">
        <is>
          <t>SKÅNE LÄN</t>
        </is>
      </c>
      <c r="E4912" t="inlineStr">
        <is>
          <t>OSBY</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38899-2025</t>
        </is>
      </c>
      <c r="B4913" s="1" t="n">
        <v>45887</v>
      </c>
      <c r="C4913" s="1" t="n">
        <v>45962</v>
      </c>
      <c r="D4913" t="inlineStr">
        <is>
          <t>SKÅNE LÄN</t>
        </is>
      </c>
      <c r="E4913" t="inlineStr">
        <is>
          <t>ÖRKELLJUNGA</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11121-2023</t>
        </is>
      </c>
      <c r="B4914" s="1" t="n">
        <v>44986</v>
      </c>
      <c r="C4914" s="1" t="n">
        <v>45962</v>
      </c>
      <c r="D4914" t="inlineStr">
        <is>
          <t>SKÅNE LÄN</t>
        </is>
      </c>
      <c r="E4914" t="inlineStr">
        <is>
          <t>HÄSSLEHOLM</t>
        </is>
      </c>
      <c r="F4914" t="inlineStr">
        <is>
          <t>Kommuner</t>
        </is>
      </c>
      <c r="G4914" t="n">
        <v>5.8</v>
      </c>
      <c r="H4914" t="n">
        <v>0</v>
      </c>
      <c r="I4914" t="n">
        <v>0</v>
      </c>
      <c r="J4914" t="n">
        <v>0</v>
      </c>
      <c r="K4914" t="n">
        <v>0</v>
      </c>
      <c r="L4914" t="n">
        <v>0</v>
      </c>
      <c r="M4914" t="n">
        <v>0</v>
      </c>
      <c r="N4914" t="n">
        <v>0</v>
      </c>
      <c r="O4914" t="n">
        <v>0</v>
      </c>
      <c r="P4914" t="n">
        <v>0</v>
      </c>
      <c r="Q4914" t="n">
        <v>0</v>
      </c>
      <c r="R4914" s="2" t="inlineStr"/>
    </row>
    <row r="4915" ht="15" customHeight="1">
      <c r="A4915" t="inlineStr">
        <is>
          <t>A 42826-2025</t>
        </is>
      </c>
      <c r="B4915" s="1" t="n">
        <v>45908.57619212963</v>
      </c>
      <c r="C4915" s="1" t="n">
        <v>45962</v>
      </c>
      <c r="D4915" t="inlineStr">
        <is>
          <t>SKÅNE LÄN</t>
        </is>
      </c>
      <c r="E4915" t="inlineStr">
        <is>
          <t>ÄNGELHOLM</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43326-2025</t>
        </is>
      </c>
      <c r="B4916" s="1" t="n">
        <v>45910</v>
      </c>
      <c r="C4916" s="1" t="n">
        <v>45962</v>
      </c>
      <c r="D4916" t="inlineStr">
        <is>
          <t>SKÅNE LÄN</t>
        </is>
      </c>
      <c r="E4916" t="inlineStr">
        <is>
          <t>SVALÖV</t>
        </is>
      </c>
      <c r="G4916" t="n">
        <v>2.1</v>
      </c>
      <c r="H4916" t="n">
        <v>0</v>
      </c>
      <c r="I4916" t="n">
        <v>0</v>
      </c>
      <c r="J4916" t="n">
        <v>0</v>
      </c>
      <c r="K4916" t="n">
        <v>0</v>
      </c>
      <c r="L4916" t="n">
        <v>0</v>
      </c>
      <c r="M4916" t="n">
        <v>0</v>
      </c>
      <c r="N4916" t="n">
        <v>0</v>
      </c>
      <c r="O4916" t="n">
        <v>0</v>
      </c>
      <c r="P4916" t="n">
        <v>0</v>
      </c>
      <c r="Q4916" t="n">
        <v>0</v>
      </c>
      <c r="R4916" s="2" t="inlineStr"/>
    </row>
    <row r="4917" ht="15" customHeight="1">
      <c r="A4917" t="inlineStr">
        <is>
          <t>A 37155-2025</t>
        </is>
      </c>
      <c r="B4917" s="1" t="n">
        <v>45875</v>
      </c>
      <c r="C4917" s="1" t="n">
        <v>45962</v>
      </c>
      <c r="D4917" t="inlineStr">
        <is>
          <t>SKÅNE LÄN</t>
        </is>
      </c>
      <c r="E4917" t="inlineStr">
        <is>
          <t>KRISTIANSTAD</t>
        </is>
      </c>
      <c r="G4917" t="n">
        <v>1.3</v>
      </c>
      <c r="H4917" t="n">
        <v>0</v>
      </c>
      <c r="I4917" t="n">
        <v>0</v>
      </c>
      <c r="J4917" t="n">
        <v>0</v>
      </c>
      <c r="K4917" t="n">
        <v>0</v>
      </c>
      <c r="L4917" t="n">
        <v>0</v>
      </c>
      <c r="M4917" t="n">
        <v>0</v>
      </c>
      <c r="N4917" t="n">
        <v>0</v>
      </c>
      <c r="O4917" t="n">
        <v>0</v>
      </c>
      <c r="P4917" t="n">
        <v>0</v>
      </c>
      <c r="Q4917" t="n">
        <v>0</v>
      </c>
      <c r="R4917" s="2" t="inlineStr"/>
    </row>
    <row r="4918" ht="15" customHeight="1">
      <c r="A4918" t="inlineStr">
        <is>
          <t>A 51396-2025</t>
        </is>
      </c>
      <c r="B4918" s="1" t="n">
        <v>45950.47131944444</v>
      </c>
      <c r="C4918" s="1" t="n">
        <v>45962</v>
      </c>
      <c r="D4918" t="inlineStr">
        <is>
          <t>SKÅNE LÄN</t>
        </is>
      </c>
      <c r="E4918" t="inlineStr">
        <is>
          <t>KLIPPAN</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51402-2025</t>
        </is>
      </c>
      <c r="B4919" s="1" t="n">
        <v>45947</v>
      </c>
      <c r="C4919" s="1" t="n">
        <v>45962</v>
      </c>
      <c r="D4919" t="inlineStr">
        <is>
          <t>SKÅNE LÄN</t>
        </is>
      </c>
      <c r="E4919" t="inlineStr">
        <is>
          <t>KRISTIANSTAD</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15536-2025</t>
        </is>
      </c>
      <c r="B4920" s="1" t="n">
        <v>45747</v>
      </c>
      <c r="C4920" s="1" t="n">
        <v>45962</v>
      </c>
      <c r="D4920" t="inlineStr">
        <is>
          <t>SKÅNE LÄN</t>
        </is>
      </c>
      <c r="E4920" t="inlineStr">
        <is>
          <t>HÄSSLEHOLM</t>
        </is>
      </c>
      <c r="G4920" t="n">
        <v>0.5</v>
      </c>
      <c r="H4920" t="n">
        <v>0</v>
      </c>
      <c r="I4920" t="n">
        <v>0</v>
      </c>
      <c r="J4920" t="n">
        <v>0</v>
      </c>
      <c r="K4920" t="n">
        <v>0</v>
      </c>
      <c r="L4920" t="n">
        <v>0</v>
      </c>
      <c r="M4920" t="n">
        <v>0</v>
      </c>
      <c r="N4920" t="n">
        <v>0</v>
      </c>
      <c r="O4920" t="n">
        <v>0</v>
      </c>
      <c r="P4920" t="n">
        <v>0</v>
      </c>
      <c r="Q4920" t="n">
        <v>0</v>
      </c>
      <c r="R4920" s="2" t="inlineStr"/>
    </row>
    <row r="4921" ht="15" customHeight="1">
      <c r="A4921" t="inlineStr">
        <is>
          <t>A 13891-2025</t>
        </is>
      </c>
      <c r="B4921" s="1" t="n">
        <v>45737</v>
      </c>
      <c r="C4921" s="1" t="n">
        <v>45962</v>
      </c>
      <c r="D4921" t="inlineStr">
        <is>
          <t>SKÅNE LÄN</t>
        </is>
      </c>
      <c r="E4921" t="inlineStr">
        <is>
          <t>KRISTIANSTAD</t>
        </is>
      </c>
      <c r="G4921" t="n">
        <v>6.8</v>
      </c>
      <c r="H4921" t="n">
        <v>0</v>
      </c>
      <c r="I4921" t="n">
        <v>0</v>
      </c>
      <c r="J4921" t="n">
        <v>0</v>
      </c>
      <c r="K4921" t="n">
        <v>0</v>
      </c>
      <c r="L4921" t="n">
        <v>0</v>
      </c>
      <c r="M4921" t="n">
        <v>0</v>
      </c>
      <c r="N4921" t="n">
        <v>0</v>
      </c>
      <c r="O4921" t="n">
        <v>0</v>
      </c>
      <c r="P4921" t="n">
        <v>0</v>
      </c>
      <c r="Q4921" t="n">
        <v>0</v>
      </c>
      <c r="R4921" s="2" t="inlineStr"/>
    </row>
    <row r="4922" ht="15" customHeight="1">
      <c r="A4922" t="inlineStr">
        <is>
          <t>A 51654-2025</t>
        </is>
      </c>
      <c r="B4922" s="1" t="n">
        <v>45951.46241898148</v>
      </c>
      <c r="C4922" s="1" t="n">
        <v>45962</v>
      </c>
      <c r="D4922" t="inlineStr">
        <is>
          <t>SKÅNE LÄN</t>
        </is>
      </c>
      <c r="E4922" t="inlineStr">
        <is>
          <t>ÖRKELLJUNGA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51318-2025</t>
        </is>
      </c>
      <c r="B4923" s="1" t="n">
        <v>45950.38170138889</v>
      </c>
      <c r="C4923" s="1" t="n">
        <v>45962</v>
      </c>
      <c r="D4923" t="inlineStr">
        <is>
          <t>SKÅNE LÄN</t>
        </is>
      </c>
      <c r="E4923" t="inlineStr">
        <is>
          <t>SVEDALA</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27424-2024</t>
        </is>
      </c>
      <c r="B4924" s="1" t="n">
        <v>45474</v>
      </c>
      <c r="C4924" s="1" t="n">
        <v>45962</v>
      </c>
      <c r="D4924" t="inlineStr">
        <is>
          <t>SKÅNE LÄN</t>
        </is>
      </c>
      <c r="E4924" t="inlineStr">
        <is>
          <t>TOMELILLA</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15535-2025</t>
        </is>
      </c>
      <c r="B4925" s="1" t="n">
        <v>45747</v>
      </c>
      <c r="C4925" s="1" t="n">
        <v>45962</v>
      </c>
      <c r="D4925" t="inlineStr">
        <is>
          <t>SKÅNE LÄN</t>
        </is>
      </c>
      <c r="E4925" t="inlineStr">
        <is>
          <t>HÄSSLEHOLM</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49137-2025</t>
        </is>
      </c>
      <c r="B4926" s="1" t="n">
        <v>45938.05672453704</v>
      </c>
      <c r="C4926" s="1" t="n">
        <v>45962</v>
      </c>
      <c r="D4926" t="inlineStr">
        <is>
          <t>SKÅNE LÄN</t>
        </is>
      </c>
      <c r="E4926" t="inlineStr">
        <is>
          <t>HÄSSLEHOLM</t>
        </is>
      </c>
      <c r="G4926" t="n">
        <v>1.8</v>
      </c>
      <c r="H4926" t="n">
        <v>0</v>
      </c>
      <c r="I4926" t="n">
        <v>0</v>
      </c>
      <c r="J4926" t="n">
        <v>0</v>
      </c>
      <c r="K4926" t="n">
        <v>0</v>
      </c>
      <c r="L4926" t="n">
        <v>0</v>
      </c>
      <c r="M4926" t="n">
        <v>0</v>
      </c>
      <c r="N4926" t="n">
        <v>0</v>
      </c>
      <c r="O4926" t="n">
        <v>0</v>
      </c>
      <c r="P4926" t="n">
        <v>0</v>
      </c>
      <c r="Q4926" t="n">
        <v>0</v>
      </c>
      <c r="R4926" s="2" t="inlineStr"/>
    </row>
    <row r="4927" ht="15" customHeight="1">
      <c r="A4927" t="inlineStr">
        <is>
          <t>A 47161-2025</t>
        </is>
      </c>
      <c r="B4927" s="1" t="n">
        <v>45929</v>
      </c>
      <c r="C4927" s="1" t="n">
        <v>45962</v>
      </c>
      <c r="D4927" t="inlineStr">
        <is>
          <t>SKÅNE LÄN</t>
        </is>
      </c>
      <c r="E4927" t="inlineStr">
        <is>
          <t>HÄSSLEHOLM</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24904-2025</t>
        </is>
      </c>
      <c r="B4928" s="1" t="n">
        <v>45799</v>
      </c>
      <c r="C4928" s="1" t="n">
        <v>45962</v>
      </c>
      <c r="D4928" t="inlineStr">
        <is>
          <t>SKÅNE LÄN</t>
        </is>
      </c>
      <c r="E4928" t="inlineStr">
        <is>
          <t>HÄSSLEHOLM</t>
        </is>
      </c>
      <c r="G4928" t="n">
        <v>2.2</v>
      </c>
      <c r="H4928" t="n">
        <v>0</v>
      </c>
      <c r="I4928" t="n">
        <v>0</v>
      </c>
      <c r="J4928" t="n">
        <v>0</v>
      </c>
      <c r="K4928" t="n">
        <v>0</v>
      </c>
      <c r="L4928" t="n">
        <v>0</v>
      </c>
      <c r="M4928" t="n">
        <v>0</v>
      </c>
      <c r="N4928" t="n">
        <v>0</v>
      </c>
      <c r="O4928" t="n">
        <v>0</v>
      </c>
      <c r="P4928" t="n">
        <v>0</v>
      </c>
      <c r="Q4928" t="n">
        <v>0</v>
      </c>
      <c r="R4928" s="2" t="inlineStr"/>
    </row>
    <row r="4929" ht="15" customHeight="1">
      <c r="A4929" t="inlineStr">
        <is>
          <t>A 51640-2025</t>
        </is>
      </c>
      <c r="B4929" s="1" t="n">
        <v>45951.44361111111</v>
      </c>
      <c r="C4929" s="1" t="n">
        <v>45962</v>
      </c>
      <c r="D4929" t="inlineStr">
        <is>
          <t>SKÅNE LÄN</t>
        </is>
      </c>
      <c r="E4929" t="inlineStr">
        <is>
          <t>HÄSSLEHOLM</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42798-2025</t>
        </is>
      </c>
      <c r="B4930" s="1" t="n">
        <v>45908.53063657408</v>
      </c>
      <c r="C4930" s="1" t="n">
        <v>45962</v>
      </c>
      <c r="D4930" t="inlineStr">
        <is>
          <t>SKÅNE LÄN</t>
        </is>
      </c>
      <c r="E4930" t="inlineStr">
        <is>
          <t>OSBY</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42929-2025</t>
        </is>
      </c>
      <c r="B4931" s="1" t="n">
        <v>45909</v>
      </c>
      <c r="C4931" s="1" t="n">
        <v>45962</v>
      </c>
      <c r="D4931" t="inlineStr">
        <is>
          <t>SKÅNE LÄN</t>
        </is>
      </c>
      <c r="E4931" t="inlineStr">
        <is>
          <t>TOMELILLA</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51235-2025</t>
        </is>
      </c>
      <c r="B4932" s="1" t="n">
        <v>45947.68568287037</v>
      </c>
      <c r="C4932" s="1" t="n">
        <v>45962</v>
      </c>
      <c r="D4932" t="inlineStr">
        <is>
          <t>SKÅNE LÄN</t>
        </is>
      </c>
      <c r="E4932" t="inlineStr">
        <is>
          <t>HÖÖR</t>
        </is>
      </c>
      <c r="G4932" t="n">
        <v>2.4</v>
      </c>
      <c r="H4932" t="n">
        <v>0</v>
      </c>
      <c r="I4932" t="n">
        <v>0</v>
      </c>
      <c r="J4932" t="n">
        <v>0</v>
      </c>
      <c r="K4932" t="n">
        <v>0</v>
      </c>
      <c r="L4932" t="n">
        <v>0</v>
      </c>
      <c r="M4932" t="n">
        <v>0</v>
      </c>
      <c r="N4932" t="n">
        <v>0</v>
      </c>
      <c r="O4932" t="n">
        <v>0</v>
      </c>
      <c r="P4932" t="n">
        <v>0</v>
      </c>
      <c r="Q4932" t="n">
        <v>0</v>
      </c>
      <c r="R4932" s="2" t="inlineStr"/>
    </row>
    <row r="4933" ht="15" customHeight="1">
      <c r="A4933" t="inlineStr">
        <is>
          <t>A 40105-2025</t>
        </is>
      </c>
      <c r="B4933" s="1" t="n">
        <v>45894</v>
      </c>
      <c r="C4933" s="1" t="n">
        <v>45962</v>
      </c>
      <c r="D4933" t="inlineStr">
        <is>
          <t>SKÅNE LÄN</t>
        </is>
      </c>
      <c r="E4933" t="inlineStr">
        <is>
          <t>KLIPPAN</t>
        </is>
      </c>
      <c r="G4933" t="n">
        <v>3.3</v>
      </c>
      <c r="H4933" t="n">
        <v>0</v>
      </c>
      <c r="I4933" t="n">
        <v>0</v>
      </c>
      <c r="J4933" t="n">
        <v>0</v>
      </c>
      <c r="K4933" t="n">
        <v>0</v>
      </c>
      <c r="L4933" t="n">
        <v>0</v>
      </c>
      <c r="M4933" t="n">
        <v>0</v>
      </c>
      <c r="N4933" t="n">
        <v>0</v>
      </c>
      <c r="O4933" t="n">
        <v>0</v>
      </c>
      <c r="P4933" t="n">
        <v>0</v>
      </c>
      <c r="Q4933" t="n">
        <v>0</v>
      </c>
      <c r="R4933" s="2" t="inlineStr"/>
    </row>
    <row r="4934" ht="15" customHeight="1">
      <c r="A4934" t="inlineStr">
        <is>
          <t>A 42725-2025</t>
        </is>
      </c>
      <c r="B4934" s="1" t="n">
        <v>45908.40152777778</v>
      </c>
      <c r="C4934" s="1" t="n">
        <v>45962</v>
      </c>
      <c r="D4934" t="inlineStr">
        <is>
          <t>SKÅNE LÄN</t>
        </is>
      </c>
      <c r="E4934" t="inlineStr">
        <is>
          <t>ÖRKELLJUNGA</t>
        </is>
      </c>
      <c r="G4934" t="n">
        <v>3.3</v>
      </c>
      <c r="H4934" t="n">
        <v>0</v>
      </c>
      <c r="I4934" t="n">
        <v>0</v>
      </c>
      <c r="J4934" t="n">
        <v>0</v>
      </c>
      <c r="K4934" t="n">
        <v>0</v>
      </c>
      <c r="L4934" t="n">
        <v>0</v>
      </c>
      <c r="M4934" t="n">
        <v>0</v>
      </c>
      <c r="N4934" t="n">
        <v>0</v>
      </c>
      <c r="O4934" t="n">
        <v>0</v>
      </c>
      <c r="P4934" t="n">
        <v>0</v>
      </c>
      <c r="Q4934" t="n">
        <v>0</v>
      </c>
      <c r="R4934" s="2" t="inlineStr"/>
    </row>
    <row r="4935" ht="15" customHeight="1">
      <c r="A4935" t="inlineStr">
        <is>
          <t>A 43054-2025</t>
        </is>
      </c>
      <c r="B4935" s="1" t="n">
        <v>45909.5709375</v>
      </c>
      <c r="C4935" s="1" t="n">
        <v>45962</v>
      </c>
      <c r="D4935" t="inlineStr">
        <is>
          <t>SKÅNE LÄN</t>
        </is>
      </c>
      <c r="E4935" t="inlineStr">
        <is>
          <t>ÖSTRA GÖINGE</t>
        </is>
      </c>
      <c r="G4935" t="n">
        <v>2.4</v>
      </c>
      <c r="H4935" t="n">
        <v>0</v>
      </c>
      <c r="I4935" t="n">
        <v>0</v>
      </c>
      <c r="J4935" t="n">
        <v>0</v>
      </c>
      <c r="K4935" t="n">
        <v>0</v>
      </c>
      <c r="L4935" t="n">
        <v>0</v>
      </c>
      <c r="M4935" t="n">
        <v>0</v>
      </c>
      <c r="N4935" t="n">
        <v>0</v>
      </c>
      <c r="O4935" t="n">
        <v>0</v>
      </c>
      <c r="P4935" t="n">
        <v>0</v>
      </c>
      <c r="Q4935" t="n">
        <v>0</v>
      </c>
      <c r="R4935" s="2" t="inlineStr"/>
    </row>
    <row r="4936" ht="15" customHeight="1">
      <c r="A4936" t="inlineStr">
        <is>
          <t>A 43062-2025</t>
        </is>
      </c>
      <c r="B4936" s="1" t="n">
        <v>45909.5822800926</v>
      </c>
      <c r="C4936" s="1" t="n">
        <v>45962</v>
      </c>
      <c r="D4936" t="inlineStr">
        <is>
          <t>SKÅNE LÄN</t>
        </is>
      </c>
      <c r="E4936" t="inlineStr">
        <is>
          <t>ÖSTRA GÖINGE</t>
        </is>
      </c>
      <c r="G4936" t="n">
        <v>3.7</v>
      </c>
      <c r="H4936" t="n">
        <v>0</v>
      </c>
      <c r="I4936" t="n">
        <v>0</v>
      </c>
      <c r="J4936" t="n">
        <v>0</v>
      </c>
      <c r="K4936" t="n">
        <v>0</v>
      </c>
      <c r="L4936" t="n">
        <v>0</v>
      </c>
      <c r="M4936" t="n">
        <v>0</v>
      </c>
      <c r="N4936" t="n">
        <v>0</v>
      </c>
      <c r="O4936" t="n">
        <v>0</v>
      </c>
      <c r="P4936" t="n">
        <v>0</v>
      </c>
      <c r="Q4936" t="n">
        <v>0</v>
      </c>
      <c r="R4936" s="2" t="inlineStr"/>
    </row>
    <row r="4937" ht="15" customHeight="1">
      <c r="A4937" t="inlineStr">
        <is>
          <t>A 43063-2025</t>
        </is>
      </c>
      <c r="B4937" s="1" t="n">
        <v>45909.58454861111</v>
      </c>
      <c r="C4937" s="1" t="n">
        <v>45962</v>
      </c>
      <c r="D4937" t="inlineStr">
        <is>
          <t>SKÅNE LÄN</t>
        </is>
      </c>
      <c r="E4937" t="inlineStr">
        <is>
          <t>ÖSTRA GÖINGE</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51757-2025</t>
        </is>
      </c>
      <c r="B4938" s="1" t="n">
        <v>45951.62902777778</v>
      </c>
      <c r="C4938" s="1" t="n">
        <v>45962</v>
      </c>
      <c r="D4938" t="inlineStr">
        <is>
          <t>SKÅNE LÄN</t>
        </is>
      </c>
      <c r="E4938" t="inlineStr">
        <is>
          <t>HÖRBY</t>
        </is>
      </c>
      <c r="F4938" t="inlineStr">
        <is>
          <t>Sveaskog</t>
        </is>
      </c>
      <c r="G4938" t="n">
        <v>1.3</v>
      </c>
      <c r="H4938" t="n">
        <v>0</v>
      </c>
      <c r="I4938" t="n">
        <v>0</v>
      </c>
      <c r="J4938" t="n">
        <v>0</v>
      </c>
      <c r="K4938" t="n">
        <v>0</v>
      </c>
      <c r="L4938" t="n">
        <v>0</v>
      </c>
      <c r="M4938" t="n">
        <v>0</v>
      </c>
      <c r="N4938" t="n">
        <v>0</v>
      </c>
      <c r="O4938" t="n">
        <v>0</v>
      </c>
      <c r="P4938" t="n">
        <v>0</v>
      </c>
      <c r="Q4938" t="n">
        <v>0</v>
      </c>
      <c r="R4938" s="2" t="inlineStr"/>
    </row>
    <row r="4939" ht="15" customHeight="1">
      <c r="A4939" t="inlineStr">
        <is>
          <t>A 51796-2025</t>
        </is>
      </c>
      <c r="B4939" s="1" t="n">
        <v>45951.74546296296</v>
      </c>
      <c r="C4939" s="1" t="n">
        <v>45962</v>
      </c>
      <c r="D4939" t="inlineStr">
        <is>
          <t>SKÅNE LÄN</t>
        </is>
      </c>
      <c r="E4939" t="inlineStr">
        <is>
          <t>HÄSSLEHOLM</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860-2025</t>
        </is>
      </c>
      <c r="B4940" s="1" t="n">
        <v>45665.61358796297</v>
      </c>
      <c r="C4940" s="1" t="n">
        <v>45962</v>
      </c>
      <c r="D4940" t="inlineStr">
        <is>
          <t>SKÅNE LÄN</t>
        </is>
      </c>
      <c r="E4940" t="inlineStr">
        <is>
          <t>OSBY</t>
        </is>
      </c>
      <c r="F4940" t="inlineStr">
        <is>
          <t>Sveaskog</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51250-2024</t>
        </is>
      </c>
      <c r="B4941" s="1" t="n">
        <v>45602</v>
      </c>
      <c r="C4941" s="1" t="n">
        <v>45962</v>
      </c>
      <c r="D4941" t="inlineStr">
        <is>
          <t>SKÅNE LÄN</t>
        </is>
      </c>
      <c r="E4941" t="inlineStr">
        <is>
          <t>PERSTORP</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43000-2025</t>
        </is>
      </c>
      <c r="B4942" s="1" t="n">
        <v>45909</v>
      </c>
      <c r="C4942" s="1" t="n">
        <v>45962</v>
      </c>
      <c r="D4942" t="inlineStr">
        <is>
          <t>SKÅNE LÄN</t>
        </is>
      </c>
      <c r="E4942" t="inlineStr">
        <is>
          <t>SJÖBO</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42698-2025</t>
        </is>
      </c>
      <c r="B4943" s="1" t="n">
        <v>45908.3650462963</v>
      </c>
      <c r="C4943" s="1" t="n">
        <v>45962</v>
      </c>
      <c r="D4943" t="inlineStr">
        <is>
          <t>SKÅNE LÄN</t>
        </is>
      </c>
      <c r="E4943" t="inlineStr">
        <is>
          <t>SVALÖV</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42713-2025</t>
        </is>
      </c>
      <c r="B4944" s="1" t="n">
        <v>45908.37888888889</v>
      </c>
      <c r="C4944" s="1" t="n">
        <v>45962</v>
      </c>
      <c r="D4944" t="inlineStr">
        <is>
          <t>SKÅNE LÄN</t>
        </is>
      </c>
      <c r="E4944" t="inlineStr">
        <is>
          <t>ÖRKELLJUNGA</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42708-2025</t>
        </is>
      </c>
      <c r="B4945" s="1" t="n">
        <v>45908.37359953704</v>
      </c>
      <c r="C4945" s="1" t="n">
        <v>45962</v>
      </c>
      <c r="D4945" t="inlineStr">
        <is>
          <t>SKÅNE LÄN</t>
        </is>
      </c>
      <c r="E4945" t="inlineStr">
        <is>
          <t>ÖRKELLJUNGA</t>
        </is>
      </c>
      <c r="G4945" t="n">
        <v>0.3</v>
      </c>
      <c r="H4945" t="n">
        <v>0</v>
      </c>
      <c r="I4945" t="n">
        <v>0</v>
      </c>
      <c r="J4945" t="n">
        <v>0</v>
      </c>
      <c r="K4945" t="n">
        <v>0</v>
      </c>
      <c r="L4945" t="n">
        <v>0</v>
      </c>
      <c r="M4945" t="n">
        <v>0</v>
      </c>
      <c r="N4945" t="n">
        <v>0</v>
      </c>
      <c r="O4945" t="n">
        <v>0</v>
      </c>
      <c r="P4945" t="n">
        <v>0</v>
      </c>
      <c r="Q4945" t="n">
        <v>0</v>
      </c>
      <c r="R4945" s="2" t="inlineStr"/>
    </row>
    <row r="4946" ht="15" customHeight="1">
      <c r="A4946" t="inlineStr">
        <is>
          <t>A 42714-2025</t>
        </is>
      </c>
      <c r="B4946" s="1" t="n">
        <v>45908.381875</v>
      </c>
      <c r="C4946" s="1" t="n">
        <v>45962</v>
      </c>
      <c r="D4946" t="inlineStr">
        <is>
          <t>SKÅNE LÄN</t>
        </is>
      </c>
      <c r="E4946" t="inlineStr">
        <is>
          <t>ÖRKELLJUNGA</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43057-2025</t>
        </is>
      </c>
      <c r="B4947" s="1" t="n">
        <v>45909.57569444444</v>
      </c>
      <c r="C4947" s="1" t="n">
        <v>45962</v>
      </c>
      <c r="D4947" t="inlineStr">
        <is>
          <t>SKÅNE LÄN</t>
        </is>
      </c>
      <c r="E4947" t="inlineStr">
        <is>
          <t>ÖSTRA GÖINGE</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43072-2025</t>
        </is>
      </c>
      <c r="B4948" s="1" t="n">
        <v>45909.59811342593</v>
      </c>
      <c r="C4948" s="1" t="n">
        <v>45962</v>
      </c>
      <c r="D4948" t="inlineStr">
        <is>
          <t>SKÅNE LÄN</t>
        </is>
      </c>
      <c r="E4948" t="inlineStr">
        <is>
          <t>OSBY</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11116-2023</t>
        </is>
      </c>
      <c r="B4949" s="1" t="n">
        <v>44986</v>
      </c>
      <c r="C4949" s="1" t="n">
        <v>45962</v>
      </c>
      <c r="D4949" t="inlineStr">
        <is>
          <t>SKÅNE LÄN</t>
        </is>
      </c>
      <c r="E4949" t="inlineStr">
        <is>
          <t>HÄSSLEHOLM</t>
        </is>
      </c>
      <c r="F4949" t="inlineStr">
        <is>
          <t>Kommuner</t>
        </is>
      </c>
      <c r="G4949" t="n">
        <v>15.1</v>
      </c>
      <c r="H4949" t="n">
        <v>0</v>
      </c>
      <c r="I4949" t="n">
        <v>0</v>
      </c>
      <c r="J4949" t="n">
        <v>0</v>
      </c>
      <c r="K4949" t="n">
        <v>0</v>
      </c>
      <c r="L4949" t="n">
        <v>0</v>
      </c>
      <c r="M4949" t="n">
        <v>0</v>
      </c>
      <c r="N4949" t="n">
        <v>0</v>
      </c>
      <c r="O4949" t="n">
        <v>0</v>
      </c>
      <c r="P4949" t="n">
        <v>0</v>
      </c>
      <c r="Q4949" t="n">
        <v>0</v>
      </c>
      <c r="R4949" s="2" t="inlineStr"/>
    </row>
    <row r="4950" ht="15" customHeight="1">
      <c r="A4950" t="inlineStr">
        <is>
          <t>A 42728-2025</t>
        </is>
      </c>
      <c r="B4950" s="1" t="n">
        <v>45908.40429398148</v>
      </c>
      <c r="C4950" s="1" t="n">
        <v>45962</v>
      </c>
      <c r="D4950" t="inlineStr">
        <is>
          <t>SKÅNE LÄN</t>
        </is>
      </c>
      <c r="E4950" t="inlineStr">
        <is>
          <t>ÖRKELLJUNGA</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43061-2025</t>
        </is>
      </c>
      <c r="B4951" s="1" t="n">
        <v>45909.58018518519</v>
      </c>
      <c r="C4951" s="1" t="n">
        <v>45962</v>
      </c>
      <c r="D4951" t="inlineStr">
        <is>
          <t>SKÅNE LÄN</t>
        </is>
      </c>
      <c r="E4951" t="inlineStr">
        <is>
          <t>ÖSTRA GÖINGE</t>
        </is>
      </c>
      <c r="G4951" t="n">
        <v>0.9</v>
      </c>
      <c r="H4951" t="n">
        <v>0</v>
      </c>
      <c r="I4951" t="n">
        <v>0</v>
      </c>
      <c r="J4951" t="n">
        <v>0</v>
      </c>
      <c r="K4951" t="n">
        <v>0</v>
      </c>
      <c r="L4951" t="n">
        <v>0</v>
      </c>
      <c r="M4951" t="n">
        <v>0</v>
      </c>
      <c r="N4951" t="n">
        <v>0</v>
      </c>
      <c r="O4951" t="n">
        <v>0</v>
      </c>
      <c r="P4951" t="n">
        <v>0</v>
      </c>
      <c r="Q4951" t="n">
        <v>0</v>
      </c>
      <c r="R4951" s="2" t="inlineStr"/>
    </row>
    <row r="4952" ht="15" customHeight="1">
      <c r="A4952" t="inlineStr">
        <is>
          <t>A 51384-2025</t>
        </is>
      </c>
      <c r="B4952" s="1" t="n">
        <v>45950.46399305556</v>
      </c>
      <c r="C4952" s="1" t="n">
        <v>45962</v>
      </c>
      <c r="D4952" t="inlineStr">
        <is>
          <t>SKÅNE LÄN</t>
        </is>
      </c>
      <c r="E4952" t="inlineStr">
        <is>
          <t>KLIPPAN</t>
        </is>
      </c>
      <c r="G4952" t="n">
        <v>1.7</v>
      </c>
      <c r="H4952" t="n">
        <v>0</v>
      </c>
      <c r="I4952" t="n">
        <v>0</v>
      </c>
      <c r="J4952" t="n">
        <v>0</v>
      </c>
      <c r="K4952" t="n">
        <v>0</v>
      </c>
      <c r="L4952" t="n">
        <v>0</v>
      </c>
      <c r="M4952" t="n">
        <v>0</v>
      </c>
      <c r="N4952" t="n">
        <v>0</v>
      </c>
      <c r="O4952" t="n">
        <v>0</v>
      </c>
      <c r="P4952" t="n">
        <v>0</v>
      </c>
      <c r="Q4952" t="n">
        <v>0</v>
      </c>
      <c r="R4952" s="2" t="inlineStr"/>
    </row>
    <row r="4953" ht="15" customHeight="1">
      <c r="A4953" t="inlineStr">
        <is>
          <t>A 43067-2025</t>
        </is>
      </c>
      <c r="B4953" s="1" t="n">
        <v>45909.59134259259</v>
      </c>
      <c r="C4953" s="1" t="n">
        <v>45962</v>
      </c>
      <c r="D4953" t="inlineStr">
        <is>
          <t>SKÅNE LÄN</t>
        </is>
      </c>
      <c r="E4953" t="inlineStr">
        <is>
          <t>OSBY</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43069-2025</t>
        </is>
      </c>
      <c r="B4954" s="1" t="n">
        <v>45909.59454861111</v>
      </c>
      <c r="C4954" s="1" t="n">
        <v>45962</v>
      </c>
      <c r="D4954" t="inlineStr">
        <is>
          <t>SKÅNE LÄN</t>
        </is>
      </c>
      <c r="E4954" t="inlineStr">
        <is>
          <t>OSBY</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40092-2025</t>
        </is>
      </c>
      <c r="B4955" s="1" t="n">
        <v>45894</v>
      </c>
      <c r="C4955" s="1" t="n">
        <v>45962</v>
      </c>
      <c r="D4955" t="inlineStr">
        <is>
          <t>SKÅNE LÄN</t>
        </is>
      </c>
      <c r="E4955" t="inlineStr">
        <is>
          <t>KLIPPAN</t>
        </is>
      </c>
      <c r="G4955" t="n">
        <v>0.7</v>
      </c>
      <c r="H4955" t="n">
        <v>0</v>
      </c>
      <c r="I4955" t="n">
        <v>0</v>
      </c>
      <c r="J4955" t="n">
        <v>0</v>
      </c>
      <c r="K4955" t="n">
        <v>0</v>
      </c>
      <c r="L4955" t="n">
        <v>0</v>
      </c>
      <c r="M4955" t="n">
        <v>0</v>
      </c>
      <c r="N4955" t="n">
        <v>0</v>
      </c>
      <c r="O4955" t="n">
        <v>0</v>
      </c>
      <c r="P4955" t="n">
        <v>0</v>
      </c>
      <c r="Q4955" t="n">
        <v>0</v>
      </c>
      <c r="R4955" s="2" t="inlineStr"/>
    </row>
    <row r="4956" ht="15" customHeight="1">
      <c r="A4956" t="inlineStr">
        <is>
          <t>A 42706-2025</t>
        </is>
      </c>
      <c r="B4956" s="1" t="n">
        <v>45908.37222222222</v>
      </c>
      <c r="C4956" s="1" t="n">
        <v>45962</v>
      </c>
      <c r="D4956" t="inlineStr">
        <is>
          <t>SKÅNE LÄN</t>
        </is>
      </c>
      <c r="E4956" t="inlineStr">
        <is>
          <t>SVALÖV</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42793-2025</t>
        </is>
      </c>
      <c r="B4957" s="1" t="n">
        <v>45908.5246412037</v>
      </c>
      <c r="C4957" s="1" t="n">
        <v>45962</v>
      </c>
      <c r="D4957" t="inlineStr">
        <is>
          <t>SKÅNE LÄN</t>
        </is>
      </c>
      <c r="E4957" t="inlineStr">
        <is>
          <t>OSBY</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49815-2025</t>
        </is>
      </c>
      <c r="B4958" s="1" t="n">
        <v>45940</v>
      </c>
      <c r="C4958" s="1" t="n">
        <v>45962</v>
      </c>
      <c r="D4958" t="inlineStr">
        <is>
          <t>SKÅNE LÄN</t>
        </is>
      </c>
      <c r="E4958" t="inlineStr">
        <is>
          <t>TOMELILLA</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43314-2024</t>
        </is>
      </c>
      <c r="B4959" s="1" t="n">
        <v>45568</v>
      </c>
      <c r="C4959" s="1" t="n">
        <v>45962</v>
      </c>
      <c r="D4959" t="inlineStr">
        <is>
          <t>SKÅNE LÄN</t>
        </is>
      </c>
      <c r="E4959" t="inlineStr">
        <is>
          <t>KRISTIANSTAD</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43516-2025</t>
        </is>
      </c>
      <c r="B4960" s="1" t="n">
        <v>45911</v>
      </c>
      <c r="C4960" s="1" t="n">
        <v>45962</v>
      </c>
      <c r="D4960" t="inlineStr">
        <is>
          <t>SKÅNE LÄN</t>
        </is>
      </c>
      <c r="E4960" t="inlineStr">
        <is>
          <t>HÄSSLEHOLM</t>
        </is>
      </c>
      <c r="G4960" t="n">
        <v>2.4</v>
      </c>
      <c r="H4960" t="n">
        <v>0</v>
      </c>
      <c r="I4960" t="n">
        <v>0</v>
      </c>
      <c r="J4960" t="n">
        <v>0</v>
      </c>
      <c r="K4960" t="n">
        <v>0</v>
      </c>
      <c r="L4960" t="n">
        <v>0</v>
      </c>
      <c r="M4960" t="n">
        <v>0</v>
      </c>
      <c r="N4960" t="n">
        <v>0</v>
      </c>
      <c r="O4960" t="n">
        <v>0</v>
      </c>
      <c r="P4960" t="n">
        <v>0</v>
      </c>
      <c r="Q4960" t="n">
        <v>0</v>
      </c>
      <c r="R4960" s="2" t="inlineStr"/>
    </row>
    <row r="4961" ht="15" customHeight="1">
      <c r="A4961" t="inlineStr">
        <is>
          <t>A 43639-2025</t>
        </is>
      </c>
      <c r="B4961" s="1" t="n">
        <v>45911.74438657407</v>
      </c>
      <c r="C4961" s="1" t="n">
        <v>45962</v>
      </c>
      <c r="D4961" t="inlineStr">
        <is>
          <t>SKÅNE LÄN</t>
        </is>
      </c>
      <c r="E4961" t="inlineStr">
        <is>
          <t>OSBY</t>
        </is>
      </c>
      <c r="G4961" t="n">
        <v>7.4</v>
      </c>
      <c r="H4961" t="n">
        <v>0</v>
      </c>
      <c r="I4961" t="n">
        <v>0</v>
      </c>
      <c r="J4961" t="n">
        <v>0</v>
      </c>
      <c r="K4961" t="n">
        <v>0</v>
      </c>
      <c r="L4961" t="n">
        <v>0</v>
      </c>
      <c r="M4961" t="n">
        <v>0</v>
      </c>
      <c r="N4961" t="n">
        <v>0</v>
      </c>
      <c r="O4961" t="n">
        <v>0</v>
      </c>
      <c r="P4961" t="n">
        <v>0</v>
      </c>
      <c r="Q4961" t="n">
        <v>0</v>
      </c>
      <c r="R4961" s="2" t="inlineStr"/>
    </row>
    <row r="4962" ht="15" customHeight="1">
      <c r="A4962" t="inlineStr">
        <is>
          <t>A 52171-2025</t>
        </is>
      </c>
      <c r="B4962" s="1" t="n">
        <v>45953.37246527777</v>
      </c>
      <c r="C4962" s="1" t="n">
        <v>45962</v>
      </c>
      <c r="D4962" t="inlineStr">
        <is>
          <t>SKÅNE LÄN</t>
        </is>
      </c>
      <c r="E4962" t="inlineStr">
        <is>
          <t>KRISTIANSTAD</t>
        </is>
      </c>
      <c r="G4962" t="n">
        <v>3.3</v>
      </c>
      <c r="H4962" t="n">
        <v>0</v>
      </c>
      <c r="I4962" t="n">
        <v>0</v>
      </c>
      <c r="J4962" t="n">
        <v>0</v>
      </c>
      <c r="K4962" t="n">
        <v>0</v>
      </c>
      <c r="L4962" t="n">
        <v>0</v>
      </c>
      <c r="M4962" t="n">
        <v>0</v>
      </c>
      <c r="N4962" t="n">
        <v>0</v>
      </c>
      <c r="O4962" t="n">
        <v>0</v>
      </c>
      <c r="P4962" t="n">
        <v>0</v>
      </c>
      <c r="Q4962" t="n">
        <v>0</v>
      </c>
      <c r="R4962" s="2" t="inlineStr"/>
    </row>
    <row r="4963" ht="15" customHeight="1">
      <c r="A4963" t="inlineStr">
        <is>
          <t>A 43559-2025</t>
        </is>
      </c>
      <c r="B4963" s="1" t="n">
        <v>45911.626875</v>
      </c>
      <c r="C4963" s="1" t="n">
        <v>45962</v>
      </c>
      <c r="D4963" t="inlineStr">
        <is>
          <t>SKÅNE LÄN</t>
        </is>
      </c>
      <c r="E4963" t="inlineStr">
        <is>
          <t>OSBY</t>
        </is>
      </c>
      <c r="G4963" t="n">
        <v>7.1</v>
      </c>
      <c r="H4963" t="n">
        <v>0</v>
      </c>
      <c r="I4963" t="n">
        <v>0</v>
      </c>
      <c r="J4963" t="n">
        <v>0</v>
      </c>
      <c r="K4963" t="n">
        <v>0</v>
      </c>
      <c r="L4963" t="n">
        <v>0</v>
      </c>
      <c r="M4963" t="n">
        <v>0</v>
      </c>
      <c r="N4963" t="n">
        <v>0</v>
      </c>
      <c r="O4963" t="n">
        <v>0</v>
      </c>
      <c r="P4963" t="n">
        <v>0</v>
      </c>
      <c r="Q4963" t="n">
        <v>0</v>
      </c>
      <c r="R4963" s="2" t="inlineStr"/>
    </row>
    <row r="4964" ht="15" customHeight="1">
      <c r="A4964" t="inlineStr">
        <is>
          <t>A 43332-2025</t>
        </is>
      </c>
      <c r="B4964" s="1" t="n">
        <v>45910.70217592592</v>
      </c>
      <c r="C4964" s="1" t="n">
        <v>45962</v>
      </c>
      <c r="D4964" t="inlineStr">
        <is>
          <t>SKÅNE LÄN</t>
        </is>
      </c>
      <c r="E4964" t="inlineStr">
        <is>
          <t>HÄSSLEHOLM</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51946-2025</t>
        </is>
      </c>
      <c r="B4965" s="1" t="n">
        <v>45951</v>
      </c>
      <c r="C4965" s="1" t="n">
        <v>45962</v>
      </c>
      <c r="D4965" t="inlineStr">
        <is>
          <t>SKÅNE LÄN</t>
        </is>
      </c>
      <c r="E4965" t="inlineStr">
        <is>
          <t>KLIPPAN</t>
        </is>
      </c>
      <c r="G4965" t="n">
        <v>1.9</v>
      </c>
      <c r="H4965" t="n">
        <v>0</v>
      </c>
      <c r="I4965" t="n">
        <v>0</v>
      </c>
      <c r="J4965" t="n">
        <v>0</v>
      </c>
      <c r="K4965" t="n">
        <v>0</v>
      </c>
      <c r="L4965" t="n">
        <v>0</v>
      </c>
      <c r="M4965" t="n">
        <v>0</v>
      </c>
      <c r="N4965" t="n">
        <v>0</v>
      </c>
      <c r="O4965" t="n">
        <v>0</v>
      </c>
      <c r="P4965" t="n">
        <v>0</v>
      </c>
      <c r="Q4965" t="n">
        <v>0</v>
      </c>
      <c r="R4965" s="2" t="inlineStr"/>
    </row>
    <row r="4966" ht="15" customHeight="1">
      <c r="A4966" t="inlineStr">
        <is>
          <t>A 43556-2025</t>
        </is>
      </c>
      <c r="B4966" s="1" t="n">
        <v>45911.62393518518</v>
      </c>
      <c r="C4966" s="1" t="n">
        <v>45962</v>
      </c>
      <c r="D4966" t="inlineStr">
        <is>
          <t>SKÅNE LÄN</t>
        </is>
      </c>
      <c r="E4966" t="inlineStr">
        <is>
          <t>OSBY</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43562-2025</t>
        </is>
      </c>
      <c r="B4967" s="1" t="n">
        <v>45911.62892361111</v>
      </c>
      <c r="C4967" s="1" t="n">
        <v>45962</v>
      </c>
      <c r="D4967" t="inlineStr">
        <is>
          <t>SKÅNE LÄN</t>
        </is>
      </c>
      <c r="E4967" t="inlineStr">
        <is>
          <t>OSBY</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43566-2025</t>
        </is>
      </c>
      <c r="B4968" s="1" t="n">
        <v>45911.63248842592</v>
      </c>
      <c r="C4968" s="1" t="n">
        <v>45962</v>
      </c>
      <c r="D4968" t="inlineStr">
        <is>
          <t>SKÅNE LÄN</t>
        </is>
      </c>
      <c r="E4968" t="inlineStr">
        <is>
          <t>PERSTORP</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15795-2025</t>
        </is>
      </c>
      <c r="B4969" s="1" t="n">
        <v>45748</v>
      </c>
      <c r="C4969" s="1" t="n">
        <v>45962</v>
      </c>
      <c r="D4969" t="inlineStr">
        <is>
          <t>SKÅNE LÄN</t>
        </is>
      </c>
      <c r="E4969" t="inlineStr">
        <is>
          <t>ÖSTRA GÖINGE</t>
        </is>
      </c>
      <c r="G4969" t="n">
        <v>1.4</v>
      </c>
      <c r="H4969" t="n">
        <v>0</v>
      </c>
      <c r="I4969" t="n">
        <v>0</v>
      </c>
      <c r="J4969" t="n">
        <v>0</v>
      </c>
      <c r="K4969" t="n">
        <v>0</v>
      </c>
      <c r="L4969" t="n">
        <v>0</v>
      </c>
      <c r="M4969" t="n">
        <v>0</v>
      </c>
      <c r="N4969" t="n">
        <v>0</v>
      </c>
      <c r="O4969" t="n">
        <v>0</v>
      </c>
      <c r="P4969" t="n">
        <v>0</v>
      </c>
      <c r="Q4969" t="n">
        <v>0</v>
      </c>
      <c r="R4969" s="2" t="inlineStr"/>
    </row>
    <row r="4970" ht="15" customHeight="1">
      <c r="A4970" t="inlineStr">
        <is>
          <t>A 34479-2025</t>
        </is>
      </c>
      <c r="B4970" s="1" t="n">
        <v>45847.37570601852</v>
      </c>
      <c r="C4970" s="1" t="n">
        <v>45962</v>
      </c>
      <c r="D4970" t="inlineStr">
        <is>
          <t>SKÅNE LÄN</t>
        </is>
      </c>
      <c r="E4970" t="inlineStr">
        <is>
          <t>KLIPPAN</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52126-2025</t>
        </is>
      </c>
      <c r="B4971" s="1" t="n">
        <v>45952.72109953704</v>
      </c>
      <c r="C4971" s="1" t="n">
        <v>45962</v>
      </c>
      <c r="D4971" t="inlineStr">
        <is>
          <t>SKÅNE LÄN</t>
        </is>
      </c>
      <c r="E4971" t="inlineStr">
        <is>
          <t>HÄSSLEHOLM</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51795-2025</t>
        </is>
      </c>
      <c r="B4972" s="1" t="n">
        <v>45951</v>
      </c>
      <c r="C4972" s="1" t="n">
        <v>45962</v>
      </c>
      <c r="D4972" t="inlineStr">
        <is>
          <t>SKÅNE LÄN</t>
        </is>
      </c>
      <c r="E4972" t="inlineStr">
        <is>
          <t>HÄSSLEHOLM</t>
        </is>
      </c>
      <c r="G4972" t="n">
        <v>2.4</v>
      </c>
      <c r="H4972" t="n">
        <v>0</v>
      </c>
      <c r="I4972" t="n">
        <v>0</v>
      </c>
      <c r="J4972" t="n">
        <v>0</v>
      </c>
      <c r="K4972" t="n">
        <v>0</v>
      </c>
      <c r="L4972" t="n">
        <v>0</v>
      </c>
      <c r="M4972" t="n">
        <v>0</v>
      </c>
      <c r="N4972" t="n">
        <v>0</v>
      </c>
      <c r="O4972" t="n">
        <v>0</v>
      </c>
      <c r="P4972" t="n">
        <v>0</v>
      </c>
      <c r="Q4972" t="n">
        <v>0</v>
      </c>
      <c r="R4972" s="2" t="inlineStr"/>
    </row>
    <row r="4973" ht="15" customHeight="1">
      <c r="A4973" t="inlineStr">
        <is>
          <t>A 43333-2025</t>
        </is>
      </c>
      <c r="B4973" s="1" t="n">
        <v>45910</v>
      </c>
      <c r="C4973" s="1" t="n">
        <v>45962</v>
      </c>
      <c r="D4973" t="inlineStr">
        <is>
          <t>SKÅNE LÄN</t>
        </is>
      </c>
      <c r="E4973" t="inlineStr">
        <is>
          <t>HÄSSLEHOLM</t>
        </is>
      </c>
      <c r="G4973" t="n">
        <v>10.1</v>
      </c>
      <c r="H4973" t="n">
        <v>0</v>
      </c>
      <c r="I4973" t="n">
        <v>0</v>
      </c>
      <c r="J4973" t="n">
        <v>0</v>
      </c>
      <c r="K4973" t="n">
        <v>0</v>
      </c>
      <c r="L4973" t="n">
        <v>0</v>
      </c>
      <c r="M4973" t="n">
        <v>0</v>
      </c>
      <c r="N4973" t="n">
        <v>0</v>
      </c>
      <c r="O4973" t="n">
        <v>0</v>
      </c>
      <c r="P4973" t="n">
        <v>0</v>
      </c>
      <c r="Q4973" t="n">
        <v>0</v>
      </c>
      <c r="R4973" s="2" t="inlineStr"/>
    </row>
    <row r="4974" ht="15" customHeight="1">
      <c r="A4974" t="inlineStr">
        <is>
          <t>A 43306-2025</t>
        </is>
      </c>
      <c r="B4974" s="1" t="n">
        <v>45910</v>
      </c>
      <c r="C4974" s="1" t="n">
        <v>45962</v>
      </c>
      <c r="D4974" t="inlineStr">
        <is>
          <t>SKÅNE LÄN</t>
        </is>
      </c>
      <c r="E4974" t="inlineStr">
        <is>
          <t>TOMELILLA</t>
        </is>
      </c>
      <c r="G4974" t="n">
        <v>1.3</v>
      </c>
      <c r="H4974" t="n">
        <v>0</v>
      </c>
      <c r="I4974" t="n">
        <v>0</v>
      </c>
      <c r="J4974" t="n">
        <v>0</v>
      </c>
      <c r="K4974" t="n">
        <v>0</v>
      </c>
      <c r="L4974" t="n">
        <v>0</v>
      </c>
      <c r="M4974" t="n">
        <v>0</v>
      </c>
      <c r="N4974" t="n">
        <v>0</v>
      </c>
      <c r="O4974" t="n">
        <v>0</v>
      </c>
      <c r="P4974" t="n">
        <v>0</v>
      </c>
      <c r="Q4974" t="n">
        <v>0</v>
      </c>
      <c r="R4974" s="2" t="inlineStr"/>
    </row>
    <row r="4975" ht="15" customHeight="1">
      <c r="A4975" t="inlineStr">
        <is>
          <t>A 43551-2025</t>
        </is>
      </c>
      <c r="B4975" s="1" t="n">
        <v>45911.61909722222</v>
      </c>
      <c r="C4975" s="1" t="n">
        <v>45962</v>
      </c>
      <c r="D4975" t="inlineStr">
        <is>
          <t>SKÅNE LÄN</t>
        </is>
      </c>
      <c r="E4975" t="inlineStr">
        <is>
          <t>OSBY</t>
        </is>
      </c>
      <c r="G4975" t="n">
        <v>5.1</v>
      </c>
      <c r="H4975" t="n">
        <v>0</v>
      </c>
      <c r="I4975" t="n">
        <v>0</v>
      </c>
      <c r="J4975" t="n">
        <v>0</v>
      </c>
      <c r="K4975" t="n">
        <v>0</v>
      </c>
      <c r="L4975" t="n">
        <v>0</v>
      </c>
      <c r="M4975" t="n">
        <v>0</v>
      </c>
      <c r="N4975" t="n">
        <v>0</v>
      </c>
      <c r="O4975" t="n">
        <v>0</v>
      </c>
      <c r="P4975" t="n">
        <v>0</v>
      </c>
      <c r="Q4975" t="n">
        <v>0</v>
      </c>
      <c r="R4975" s="2" t="inlineStr"/>
    </row>
    <row r="4976" ht="15" customHeight="1">
      <c r="A4976" t="inlineStr">
        <is>
          <t>A 49813-2025</t>
        </is>
      </c>
      <c r="B4976" s="1" t="n">
        <v>45940</v>
      </c>
      <c r="C4976" s="1" t="n">
        <v>45962</v>
      </c>
      <c r="D4976" t="inlineStr">
        <is>
          <t>SKÅNE LÄN</t>
        </is>
      </c>
      <c r="E4976" t="inlineStr">
        <is>
          <t>TOMELILLA</t>
        </is>
      </c>
      <c r="G4976" t="n">
        <v>4.5</v>
      </c>
      <c r="H4976" t="n">
        <v>0</v>
      </c>
      <c r="I4976" t="n">
        <v>0</v>
      </c>
      <c r="J4976" t="n">
        <v>0</v>
      </c>
      <c r="K4976" t="n">
        <v>0</v>
      </c>
      <c r="L4976" t="n">
        <v>0</v>
      </c>
      <c r="M4976" t="n">
        <v>0</v>
      </c>
      <c r="N4976" t="n">
        <v>0</v>
      </c>
      <c r="O4976" t="n">
        <v>0</v>
      </c>
      <c r="P4976" t="n">
        <v>0</v>
      </c>
      <c r="Q4976" t="n">
        <v>0</v>
      </c>
      <c r="R4976" s="2" t="inlineStr"/>
    </row>
    <row r="4977" ht="15" customHeight="1">
      <c r="A4977" t="inlineStr">
        <is>
          <t>A 43312-2024</t>
        </is>
      </c>
      <c r="B4977" s="1" t="n">
        <v>45568</v>
      </c>
      <c r="C4977" s="1" t="n">
        <v>45962</v>
      </c>
      <c r="D4977" t="inlineStr">
        <is>
          <t>SKÅNE LÄN</t>
        </is>
      </c>
      <c r="E4977" t="inlineStr">
        <is>
          <t>KRISTIANSTAD</t>
        </is>
      </c>
      <c r="G4977" t="n">
        <v>4</v>
      </c>
      <c r="H4977" t="n">
        <v>0</v>
      </c>
      <c r="I4977" t="n">
        <v>0</v>
      </c>
      <c r="J4977" t="n">
        <v>0</v>
      </c>
      <c r="K4977" t="n">
        <v>0</v>
      </c>
      <c r="L4977" t="n">
        <v>0</v>
      </c>
      <c r="M4977" t="n">
        <v>0</v>
      </c>
      <c r="N4977" t="n">
        <v>0</v>
      </c>
      <c r="O4977" t="n">
        <v>0</v>
      </c>
      <c r="P4977" t="n">
        <v>0</v>
      </c>
      <c r="Q4977" t="n">
        <v>0</v>
      </c>
      <c r="R4977" s="2" t="inlineStr"/>
    </row>
    <row r="4978" ht="15" customHeight="1">
      <c r="A4978" t="inlineStr">
        <is>
          <t>A 43425-2025</t>
        </is>
      </c>
      <c r="B4978" s="1" t="n">
        <v>45911.4182175926</v>
      </c>
      <c r="C4978" s="1" t="n">
        <v>45962</v>
      </c>
      <c r="D4978" t="inlineStr">
        <is>
          <t>SKÅNE LÄN</t>
        </is>
      </c>
      <c r="E4978" t="inlineStr">
        <is>
          <t>SVALÖV</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52053-2025</t>
        </is>
      </c>
      <c r="B4979" s="1" t="n">
        <v>45952</v>
      </c>
      <c r="C4979" s="1" t="n">
        <v>45962</v>
      </c>
      <c r="D4979" t="inlineStr">
        <is>
          <t>SKÅNE LÄN</t>
        </is>
      </c>
      <c r="E4979" t="inlineStr">
        <is>
          <t>KRISTIANSTAD</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13797-2025</t>
        </is>
      </c>
      <c r="B4980" s="1" t="n">
        <v>45737.48324074074</v>
      </c>
      <c r="C4980" s="1" t="n">
        <v>45962</v>
      </c>
      <c r="D4980" t="inlineStr">
        <is>
          <t>SKÅNE LÄN</t>
        </is>
      </c>
      <c r="E4980" t="inlineStr">
        <is>
          <t>ÖRKELLJUNGA</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52690-2025</t>
        </is>
      </c>
      <c r="B4981" s="1" t="n">
        <v>45956.48366898148</v>
      </c>
      <c r="C4981" s="1" t="n">
        <v>45962</v>
      </c>
      <c r="D4981" t="inlineStr">
        <is>
          <t>SKÅNE LÄN</t>
        </is>
      </c>
      <c r="E4981" t="inlineStr">
        <is>
          <t>HÖRBY</t>
        </is>
      </c>
      <c r="G4981" t="n">
        <v>1.2</v>
      </c>
      <c r="H4981" t="n">
        <v>0</v>
      </c>
      <c r="I4981" t="n">
        <v>0</v>
      </c>
      <c r="J4981" t="n">
        <v>0</v>
      </c>
      <c r="K4981" t="n">
        <v>0</v>
      </c>
      <c r="L4981" t="n">
        <v>0</v>
      </c>
      <c r="M4981" t="n">
        <v>0</v>
      </c>
      <c r="N4981" t="n">
        <v>0</v>
      </c>
      <c r="O4981" t="n">
        <v>0</v>
      </c>
      <c r="P4981" t="n">
        <v>0</v>
      </c>
      <c r="Q4981" t="n">
        <v>0</v>
      </c>
      <c r="R4981" s="2" t="inlineStr"/>
    </row>
    <row r="4982" ht="15" customHeight="1">
      <c r="A4982" t="inlineStr">
        <is>
          <t>A 43827-2025</t>
        </is>
      </c>
      <c r="B4982" s="1" t="n">
        <v>45912.62307870371</v>
      </c>
      <c r="C4982" s="1" t="n">
        <v>45962</v>
      </c>
      <c r="D4982" t="inlineStr">
        <is>
          <t>SKÅNE LÄN</t>
        </is>
      </c>
      <c r="E4982" t="inlineStr">
        <is>
          <t>OSBY</t>
        </is>
      </c>
      <c r="G4982" t="n">
        <v>5.4</v>
      </c>
      <c r="H4982" t="n">
        <v>0</v>
      </c>
      <c r="I4982" t="n">
        <v>0</v>
      </c>
      <c r="J4982" t="n">
        <v>0</v>
      </c>
      <c r="K4982" t="n">
        <v>0</v>
      </c>
      <c r="L4982" t="n">
        <v>0</v>
      </c>
      <c r="M4982" t="n">
        <v>0</v>
      </c>
      <c r="N4982" t="n">
        <v>0</v>
      </c>
      <c r="O4982" t="n">
        <v>0</v>
      </c>
      <c r="P4982" t="n">
        <v>0</v>
      </c>
      <c r="Q4982" t="n">
        <v>0</v>
      </c>
      <c r="R4982" s="2" t="inlineStr"/>
    </row>
    <row r="4983" ht="15" customHeight="1">
      <c r="A4983" t="inlineStr">
        <is>
          <t>A 43857-2025</t>
        </is>
      </c>
      <c r="B4983" s="1" t="n">
        <v>45912.64872685185</v>
      </c>
      <c r="C4983" s="1" t="n">
        <v>45962</v>
      </c>
      <c r="D4983" t="inlineStr">
        <is>
          <t>SKÅNE LÄN</t>
        </is>
      </c>
      <c r="E4983" t="inlineStr">
        <is>
          <t>ÄNGELHOLM</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43869-2025</t>
        </is>
      </c>
      <c r="B4984" s="1" t="n">
        <v>45912.66452546296</v>
      </c>
      <c r="C4984" s="1" t="n">
        <v>45962</v>
      </c>
      <c r="D4984" t="inlineStr">
        <is>
          <t>SKÅNE LÄN</t>
        </is>
      </c>
      <c r="E4984" t="inlineStr">
        <is>
          <t>HÄSSLEHOLM</t>
        </is>
      </c>
      <c r="G4984" t="n">
        <v>0.7</v>
      </c>
      <c r="H4984" t="n">
        <v>0</v>
      </c>
      <c r="I4984" t="n">
        <v>0</v>
      </c>
      <c r="J4984" t="n">
        <v>0</v>
      </c>
      <c r="K4984" t="n">
        <v>0</v>
      </c>
      <c r="L4984" t="n">
        <v>0</v>
      </c>
      <c r="M4984" t="n">
        <v>0</v>
      </c>
      <c r="N4984" t="n">
        <v>0</v>
      </c>
      <c r="O4984" t="n">
        <v>0</v>
      </c>
      <c r="P4984" t="n">
        <v>0</v>
      </c>
      <c r="Q4984" t="n">
        <v>0</v>
      </c>
      <c r="R4984" s="2" t="inlineStr"/>
    </row>
    <row r="4985" ht="15" customHeight="1">
      <c r="A4985" t="inlineStr">
        <is>
          <t>A 1846-2025</t>
        </is>
      </c>
      <c r="B4985" s="1" t="n">
        <v>45671</v>
      </c>
      <c r="C4985" s="1" t="n">
        <v>45962</v>
      </c>
      <c r="D4985" t="inlineStr">
        <is>
          <t>SKÅNE LÄN</t>
        </is>
      </c>
      <c r="E4985" t="inlineStr">
        <is>
          <t>SJÖBO</t>
        </is>
      </c>
      <c r="G4985" t="n">
        <v>5.6</v>
      </c>
      <c r="H4985" t="n">
        <v>0</v>
      </c>
      <c r="I4985" t="n">
        <v>0</v>
      </c>
      <c r="J4985" t="n">
        <v>0</v>
      </c>
      <c r="K4985" t="n">
        <v>0</v>
      </c>
      <c r="L4985" t="n">
        <v>0</v>
      </c>
      <c r="M4985" t="n">
        <v>0</v>
      </c>
      <c r="N4985" t="n">
        <v>0</v>
      </c>
      <c r="O4985" t="n">
        <v>0</v>
      </c>
      <c r="P4985" t="n">
        <v>0</v>
      </c>
      <c r="Q4985" t="n">
        <v>0</v>
      </c>
      <c r="R4985" s="2" t="inlineStr"/>
    </row>
    <row r="4986" ht="15" customHeight="1">
      <c r="A4986" t="inlineStr">
        <is>
          <t>A 1858-2025</t>
        </is>
      </c>
      <c r="B4986" s="1" t="n">
        <v>45671</v>
      </c>
      <c r="C4986" s="1" t="n">
        <v>45962</v>
      </c>
      <c r="D4986" t="inlineStr">
        <is>
          <t>SKÅNE LÄN</t>
        </is>
      </c>
      <c r="E4986" t="inlineStr">
        <is>
          <t>SJÖBO</t>
        </is>
      </c>
      <c r="G4986" t="n">
        <v>0.4</v>
      </c>
      <c r="H4986" t="n">
        <v>0</v>
      </c>
      <c r="I4986" t="n">
        <v>0</v>
      </c>
      <c r="J4986" t="n">
        <v>0</v>
      </c>
      <c r="K4986" t="n">
        <v>0</v>
      </c>
      <c r="L4986" t="n">
        <v>0</v>
      </c>
      <c r="M4986" t="n">
        <v>0</v>
      </c>
      <c r="N4986" t="n">
        <v>0</v>
      </c>
      <c r="O4986" t="n">
        <v>0</v>
      </c>
      <c r="P4986" t="n">
        <v>0</v>
      </c>
      <c r="Q4986" t="n">
        <v>0</v>
      </c>
      <c r="R4986" s="2" t="inlineStr"/>
    </row>
    <row r="4987" ht="15" customHeight="1">
      <c r="A4987" t="inlineStr">
        <is>
          <t>A 43932-2025</t>
        </is>
      </c>
      <c r="B4987" s="1" t="n">
        <v>45915.33224537037</v>
      </c>
      <c r="C4987" s="1" t="n">
        <v>45962</v>
      </c>
      <c r="D4987" t="inlineStr">
        <is>
          <t>SKÅNE LÄN</t>
        </is>
      </c>
      <c r="E4987" t="inlineStr">
        <is>
          <t>OSBY</t>
        </is>
      </c>
      <c r="G4987" t="n">
        <v>4</v>
      </c>
      <c r="H4987" t="n">
        <v>0</v>
      </c>
      <c r="I4987" t="n">
        <v>0</v>
      </c>
      <c r="J4987" t="n">
        <v>0</v>
      </c>
      <c r="K4987" t="n">
        <v>0</v>
      </c>
      <c r="L4987" t="n">
        <v>0</v>
      </c>
      <c r="M4987" t="n">
        <v>0</v>
      </c>
      <c r="N4987" t="n">
        <v>0</v>
      </c>
      <c r="O4987" t="n">
        <v>0</v>
      </c>
      <c r="P4987" t="n">
        <v>0</v>
      </c>
      <c r="Q4987" t="n">
        <v>0</v>
      </c>
      <c r="R4987" s="2" t="inlineStr"/>
    </row>
    <row r="4988" ht="15" customHeight="1">
      <c r="A4988" t="inlineStr">
        <is>
          <t>A 35997-2025</t>
        </is>
      </c>
      <c r="B4988" s="1" t="n">
        <v>45863</v>
      </c>
      <c r="C4988" s="1" t="n">
        <v>45962</v>
      </c>
      <c r="D4988" t="inlineStr">
        <is>
          <t>SKÅNE LÄN</t>
        </is>
      </c>
      <c r="E4988" t="inlineStr">
        <is>
          <t>ESLÖV</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1865-2025</t>
        </is>
      </c>
      <c r="B4989" s="1" t="n">
        <v>45671</v>
      </c>
      <c r="C4989" s="1" t="n">
        <v>45962</v>
      </c>
      <c r="D4989" t="inlineStr">
        <is>
          <t>SKÅNE LÄN</t>
        </is>
      </c>
      <c r="E4989" t="inlineStr">
        <is>
          <t>SJÖBO</t>
        </is>
      </c>
      <c r="G4989" t="n">
        <v>1.5</v>
      </c>
      <c r="H4989" t="n">
        <v>0</v>
      </c>
      <c r="I4989" t="n">
        <v>0</v>
      </c>
      <c r="J4989" t="n">
        <v>0</v>
      </c>
      <c r="K4989" t="n">
        <v>0</v>
      </c>
      <c r="L4989" t="n">
        <v>0</v>
      </c>
      <c r="M4989" t="n">
        <v>0</v>
      </c>
      <c r="N4989" t="n">
        <v>0</v>
      </c>
      <c r="O4989" t="n">
        <v>0</v>
      </c>
      <c r="P4989" t="n">
        <v>0</v>
      </c>
      <c r="Q4989" t="n">
        <v>0</v>
      </c>
      <c r="R4989" s="2" t="inlineStr"/>
    </row>
    <row r="4990" ht="15" customHeight="1">
      <c r="A4990" t="inlineStr">
        <is>
          <t>A 43881-2025</t>
        </is>
      </c>
      <c r="B4990" s="1" t="n">
        <v>45912</v>
      </c>
      <c r="C4990" s="1" t="n">
        <v>45962</v>
      </c>
      <c r="D4990" t="inlineStr">
        <is>
          <t>SKÅNE LÄN</t>
        </is>
      </c>
      <c r="E4990" t="inlineStr">
        <is>
          <t>BROMÖLLA</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43741-2025</t>
        </is>
      </c>
      <c r="B4991" s="1" t="n">
        <v>45912.45541666666</v>
      </c>
      <c r="C4991" s="1" t="n">
        <v>45962</v>
      </c>
      <c r="D4991" t="inlineStr">
        <is>
          <t>SKÅNE LÄN</t>
        </is>
      </c>
      <c r="E4991" t="inlineStr">
        <is>
          <t>HÄSSLEHOLM</t>
        </is>
      </c>
      <c r="G4991" t="n">
        <v>4.3</v>
      </c>
      <c r="H4991" t="n">
        <v>0</v>
      </c>
      <c r="I4991" t="n">
        <v>0</v>
      </c>
      <c r="J4991" t="n">
        <v>0</v>
      </c>
      <c r="K4991" t="n">
        <v>0</v>
      </c>
      <c r="L4991" t="n">
        <v>0</v>
      </c>
      <c r="M4991" t="n">
        <v>0</v>
      </c>
      <c r="N4991" t="n">
        <v>0</v>
      </c>
      <c r="O4991" t="n">
        <v>0</v>
      </c>
      <c r="P4991" t="n">
        <v>0</v>
      </c>
      <c r="Q4991" t="n">
        <v>0</v>
      </c>
      <c r="R4991" s="2" t="inlineStr"/>
    </row>
    <row r="4992" ht="15" customHeight="1">
      <c r="A4992" t="inlineStr">
        <is>
          <t>A 43933-2025</t>
        </is>
      </c>
      <c r="B4992" s="1" t="n">
        <v>45915.33744212963</v>
      </c>
      <c r="C4992" s="1" t="n">
        <v>45962</v>
      </c>
      <c r="D4992" t="inlineStr">
        <is>
          <t>SKÅNE LÄN</t>
        </is>
      </c>
      <c r="E4992" t="inlineStr">
        <is>
          <t>OSBY</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43943-2025</t>
        </is>
      </c>
      <c r="B4993" s="1" t="n">
        <v>45915.36627314815</v>
      </c>
      <c r="C4993" s="1" t="n">
        <v>45962</v>
      </c>
      <c r="D4993" t="inlineStr">
        <is>
          <t>SKÅNE LÄN</t>
        </is>
      </c>
      <c r="E4993" t="inlineStr">
        <is>
          <t>ESLÖV</t>
        </is>
      </c>
      <c r="G4993" t="n">
        <v>6.1</v>
      </c>
      <c r="H4993" t="n">
        <v>0</v>
      </c>
      <c r="I4993" t="n">
        <v>0</v>
      </c>
      <c r="J4993" t="n">
        <v>0</v>
      </c>
      <c r="K4993" t="n">
        <v>0</v>
      </c>
      <c r="L4993" t="n">
        <v>0</v>
      </c>
      <c r="M4993" t="n">
        <v>0</v>
      </c>
      <c r="N4993" t="n">
        <v>0</v>
      </c>
      <c r="O4993" t="n">
        <v>0</v>
      </c>
      <c r="P4993" t="n">
        <v>0</v>
      </c>
      <c r="Q4993" t="n">
        <v>0</v>
      </c>
      <c r="R4993" s="2" t="inlineStr"/>
    </row>
    <row r="4994" ht="15" customHeight="1">
      <c r="A4994" t="inlineStr">
        <is>
          <t>A 43992-2025</t>
        </is>
      </c>
      <c r="B4994" s="1" t="n">
        <v>45915.44501157408</v>
      </c>
      <c r="C4994" s="1" t="n">
        <v>45962</v>
      </c>
      <c r="D4994" t="inlineStr">
        <is>
          <t>SKÅNE LÄN</t>
        </is>
      </c>
      <c r="E4994" t="inlineStr">
        <is>
          <t>ÖRKELLJUNGA</t>
        </is>
      </c>
      <c r="G4994" t="n">
        <v>1.8</v>
      </c>
      <c r="H4994" t="n">
        <v>0</v>
      </c>
      <c r="I4994" t="n">
        <v>0</v>
      </c>
      <c r="J4994" t="n">
        <v>0</v>
      </c>
      <c r="K4994" t="n">
        <v>0</v>
      </c>
      <c r="L4994" t="n">
        <v>0</v>
      </c>
      <c r="M4994" t="n">
        <v>0</v>
      </c>
      <c r="N4994" t="n">
        <v>0</v>
      </c>
      <c r="O4994" t="n">
        <v>0</v>
      </c>
      <c r="P4994" t="n">
        <v>0</v>
      </c>
      <c r="Q4994" t="n">
        <v>0</v>
      </c>
      <c r="R4994" s="2" t="inlineStr"/>
    </row>
    <row r="4995" ht="15" customHeight="1">
      <c r="A4995" t="inlineStr">
        <is>
          <t>A 44012-2025</t>
        </is>
      </c>
      <c r="B4995" s="1" t="n">
        <v>45915</v>
      </c>
      <c r="C4995" s="1" t="n">
        <v>45962</v>
      </c>
      <c r="D4995" t="inlineStr">
        <is>
          <t>SKÅNE LÄN</t>
        </is>
      </c>
      <c r="E4995" t="inlineStr">
        <is>
          <t>ÄNGELHOLM</t>
        </is>
      </c>
      <c r="G4995" t="n">
        <v>5.4</v>
      </c>
      <c r="H4995" t="n">
        <v>0</v>
      </c>
      <c r="I4995" t="n">
        <v>0</v>
      </c>
      <c r="J4995" t="n">
        <v>0</v>
      </c>
      <c r="K4995" t="n">
        <v>0</v>
      </c>
      <c r="L4995" t="n">
        <v>0</v>
      </c>
      <c r="M4995" t="n">
        <v>0</v>
      </c>
      <c r="N4995" t="n">
        <v>0</v>
      </c>
      <c r="O4995" t="n">
        <v>0</v>
      </c>
      <c r="P4995" t="n">
        <v>0</v>
      </c>
      <c r="Q4995" t="n">
        <v>0</v>
      </c>
      <c r="R4995" s="2" t="inlineStr"/>
    </row>
    <row r="4996" ht="15" customHeight="1">
      <c r="A4996" t="inlineStr">
        <is>
          <t>A 43896-2025</t>
        </is>
      </c>
      <c r="B4996" s="1" t="n">
        <v>45912.84423611111</v>
      </c>
      <c r="C4996" s="1" t="n">
        <v>45962</v>
      </c>
      <c r="D4996" t="inlineStr">
        <is>
          <t>SKÅNE LÄN</t>
        </is>
      </c>
      <c r="E4996" t="inlineStr">
        <is>
          <t>OSBY</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43900-2025</t>
        </is>
      </c>
      <c r="B4997" s="1" t="n">
        <v>45913.26221064815</v>
      </c>
      <c r="C4997" s="1" t="n">
        <v>45962</v>
      </c>
      <c r="D4997" t="inlineStr">
        <is>
          <t>SKÅNE LÄN</t>
        </is>
      </c>
      <c r="E4997" t="inlineStr">
        <is>
          <t>ÖRKELLJUNGA</t>
        </is>
      </c>
      <c r="G4997" t="n">
        <v>4.1</v>
      </c>
      <c r="H4997" t="n">
        <v>0</v>
      </c>
      <c r="I4997" t="n">
        <v>0</v>
      </c>
      <c r="J4997" t="n">
        <v>0</v>
      </c>
      <c r="K4997" t="n">
        <v>0</v>
      </c>
      <c r="L4997" t="n">
        <v>0</v>
      </c>
      <c r="M4997" t="n">
        <v>0</v>
      </c>
      <c r="N4997" t="n">
        <v>0</v>
      </c>
      <c r="O4997" t="n">
        <v>0</v>
      </c>
      <c r="P4997" t="n">
        <v>0</v>
      </c>
      <c r="Q4997" t="n">
        <v>0</v>
      </c>
      <c r="R4997" s="2" t="inlineStr"/>
    </row>
    <row r="4998" ht="15" customHeight="1">
      <c r="A4998" t="inlineStr">
        <is>
          <t>A 35996-2025</t>
        </is>
      </c>
      <c r="B4998" s="1" t="n">
        <v>45863</v>
      </c>
      <c r="C4998" s="1" t="n">
        <v>45962</v>
      </c>
      <c r="D4998" t="inlineStr">
        <is>
          <t>SKÅNE LÄN</t>
        </is>
      </c>
      <c r="E4998" t="inlineStr">
        <is>
          <t>ESLÖV</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49143-2025</t>
        </is>
      </c>
      <c r="B4999" s="1" t="n">
        <v>45938</v>
      </c>
      <c r="C4999" s="1" t="n">
        <v>45962</v>
      </c>
      <c r="D4999" t="inlineStr">
        <is>
          <t>SKÅNE LÄN</t>
        </is>
      </c>
      <c r="E4999" t="inlineStr">
        <is>
          <t>KRISTIANSTAD</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42417-2025</t>
        </is>
      </c>
      <c r="B5000" s="1" t="n">
        <v>45905</v>
      </c>
      <c r="C5000" s="1" t="n">
        <v>45962</v>
      </c>
      <c r="D5000" t="inlineStr">
        <is>
          <t>SKÅNE LÄN</t>
        </is>
      </c>
      <c r="E5000" t="inlineStr">
        <is>
          <t>BÅSTAD</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43641-2025</t>
        </is>
      </c>
      <c r="B5001" s="1" t="n">
        <v>45911.87390046296</v>
      </c>
      <c r="C5001" s="1" t="n">
        <v>45962</v>
      </c>
      <c r="D5001" t="inlineStr">
        <is>
          <t>SKÅNE LÄN</t>
        </is>
      </c>
      <c r="E5001" t="inlineStr">
        <is>
          <t>ÖRKELLJUNGA</t>
        </is>
      </c>
      <c r="G5001" t="n">
        <v>5.5</v>
      </c>
      <c r="H5001" t="n">
        <v>0</v>
      </c>
      <c r="I5001" t="n">
        <v>0</v>
      </c>
      <c r="J5001" t="n">
        <v>0</v>
      </c>
      <c r="K5001" t="n">
        <v>0</v>
      </c>
      <c r="L5001" t="n">
        <v>0</v>
      </c>
      <c r="M5001" t="n">
        <v>0</v>
      </c>
      <c r="N5001" t="n">
        <v>0</v>
      </c>
      <c r="O5001" t="n">
        <v>0</v>
      </c>
      <c r="P5001" t="n">
        <v>0</v>
      </c>
      <c r="Q5001" t="n">
        <v>0</v>
      </c>
      <c r="R5001" s="2" t="inlineStr"/>
    </row>
    <row r="5002" ht="15" customHeight="1">
      <c r="A5002" t="inlineStr">
        <is>
          <t>A 47139-2025</t>
        </is>
      </c>
      <c r="B5002" s="1" t="n">
        <v>45929</v>
      </c>
      <c r="C5002" s="1" t="n">
        <v>45962</v>
      </c>
      <c r="D5002" t="inlineStr">
        <is>
          <t>SKÅNE LÄN</t>
        </is>
      </c>
      <c r="E5002" t="inlineStr">
        <is>
          <t>SVALÖV</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23560-2025</t>
        </is>
      </c>
      <c r="B5003" s="1" t="n">
        <v>45792</v>
      </c>
      <c r="C5003" s="1" t="n">
        <v>45962</v>
      </c>
      <c r="D5003" t="inlineStr">
        <is>
          <t>SKÅNE LÄN</t>
        </is>
      </c>
      <c r="E5003" t="inlineStr">
        <is>
          <t>KRISTIANSTAD</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30730-2025</t>
        </is>
      </c>
      <c r="B5004" s="1" t="n">
        <v>45831</v>
      </c>
      <c r="C5004" s="1" t="n">
        <v>45962</v>
      </c>
      <c r="D5004" t="inlineStr">
        <is>
          <t>SKÅNE LÄN</t>
        </is>
      </c>
      <c r="E5004" t="inlineStr">
        <is>
          <t>HÖÖR</t>
        </is>
      </c>
      <c r="G5004" t="n">
        <v>4.4</v>
      </c>
      <c r="H5004" t="n">
        <v>0</v>
      </c>
      <c r="I5004" t="n">
        <v>0</v>
      </c>
      <c r="J5004" t="n">
        <v>0</v>
      </c>
      <c r="K5004" t="n">
        <v>0</v>
      </c>
      <c r="L5004" t="n">
        <v>0</v>
      </c>
      <c r="M5004" t="n">
        <v>0</v>
      </c>
      <c r="N5004" t="n">
        <v>0</v>
      </c>
      <c r="O5004" t="n">
        <v>0</v>
      </c>
      <c r="P5004" t="n">
        <v>0</v>
      </c>
      <c r="Q5004" t="n">
        <v>0</v>
      </c>
      <c r="R5004" s="2" t="inlineStr"/>
    </row>
    <row r="5005" ht="15" customHeight="1">
      <c r="A5005" t="inlineStr">
        <is>
          <t>A 43698-2025</t>
        </is>
      </c>
      <c r="B5005" s="1" t="n">
        <v>45912.39892361111</v>
      </c>
      <c r="C5005" s="1" t="n">
        <v>45962</v>
      </c>
      <c r="D5005" t="inlineStr">
        <is>
          <t>SKÅNE LÄN</t>
        </is>
      </c>
      <c r="E5005" t="inlineStr">
        <is>
          <t>KLIPPAN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50629-2025</t>
        </is>
      </c>
      <c r="B5006" s="1" t="n">
        <v>45945</v>
      </c>
      <c r="C5006" s="1" t="n">
        <v>45962</v>
      </c>
      <c r="D5006" t="inlineStr">
        <is>
          <t>SKÅNE LÄN</t>
        </is>
      </c>
      <c r="E5006" t="inlineStr">
        <is>
          <t>ÖRKELLJUNGA</t>
        </is>
      </c>
      <c r="G5006" t="n">
        <v>6.3</v>
      </c>
      <c r="H5006" t="n">
        <v>0</v>
      </c>
      <c r="I5006" t="n">
        <v>0</v>
      </c>
      <c r="J5006" t="n">
        <v>0</v>
      </c>
      <c r="K5006" t="n">
        <v>0</v>
      </c>
      <c r="L5006" t="n">
        <v>0</v>
      </c>
      <c r="M5006" t="n">
        <v>0</v>
      </c>
      <c r="N5006" t="n">
        <v>0</v>
      </c>
      <c r="O5006" t="n">
        <v>0</v>
      </c>
      <c r="P5006" t="n">
        <v>0</v>
      </c>
      <c r="Q5006" t="n">
        <v>0</v>
      </c>
      <c r="R5006" s="2" t="inlineStr"/>
    </row>
    <row r="5007" ht="15" customHeight="1">
      <c r="A5007" t="inlineStr">
        <is>
          <t>A 44111-2025</t>
        </is>
      </c>
      <c r="B5007" s="1" t="n">
        <v>45915.57407407407</v>
      </c>
      <c r="C5007" s="1" t="n">
        <v>45962</v>
      </c>
      <c r="D5007" t="inlineStr">
        <is>
          <t>SKÅNE LÄN</t>
        </is>
      </c>
      <c r="E5007" t="inlineStr">
        <is>
          <t>KRISTIANSTAD</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43990-2025</t>
        </is>
      </c>
      <c r="B5008" s="1" t="n">
        <v>45915.44359953704</v>
      </c>
      <c r="C5008" s="1" t="n">
        <v>45962</v>
      </c>
      <c r="D5008" t="inlineStr">
        <is>
          <t>SKÅNE LÄN</t>
        </is>
      </c>
      <c r="E5008" t="inlineStr">
        <is>
          <t>ÖRKELLJUNGA</t>
        </is>
      </c>
      <c r="G5008" t="n">
        <v>0.5</v>
      </c>
      <c r="H5008" t="n">
        <v>0</v>
      </c>
      <c r="I5008" t="n">
        <v>0</v>
      </c>
      <c r="J5008" t="n">
        <v>0</v>
      </c>
      <c r="K5008" t="n">
        <v>0</v>
      </c>
      <c r="L5008" t="n">
        <v>0</v>
      </c>
      <c r="M5008" t="n">
        <v>0</v>
      </c>
      <c r="N5008" t="n">
        <v>0</v>
      </c>
      <c r="O5008" t="n">
        <v>0</v>
      </c>
      <c r="P5008" t="n">
        <v>0</v>
      </c>
      <c r="Q5008" t="n">
        <v>0</v>
      </c>
      <c r="R5008" s="2" t="inlineStr"/>
    </row>
    <row r="5009" ht="15" customHeight="1">
      <c r="A5009" t="inlineStr">
        <is>
          <t>A 49199-2025</t>
        </is>
      </c>
      <c r="B5009" s="1" t="n">
        <v>45938</v>
      </c>
      <c r="C5009" s="1" t="n">
        <v>45962</v>
      </c>
      <c r="D5009" t="inlineStr">
        <is>
          <t>SKÅNE LÄN</t>
        </is>
      </c>
      <c r="E5009" t="inlineStr">
        <is>
          <t>HÖRBY</t>
        </is>
      </c>
      <c r="G5009" t="n">
        <v>4.4</v>
      </c>
      <c r="H5009" t="n">
        <v>0</v>
      </c>
      <c r="I5009" t="n">
        <v>0</v>
      </c>
      <c r="J5009" t="n">
        <v>0</v>
      </c>
      <c r="K5009" t="n">
        <v>0</v>
      </c>
      <c r="L5009" t="n">
        <v>0</v>
      </c>
      <c r="M5009" t="n">
        <v>0</v>
      </c>
      <c r="N5009" t="n">
        <v>0</v>
      </c>
      <c r="O5009" t="n">
        <v>0</v>
      </c>
      <c r="P5009" t="n">
        <v>0</v>
      </c>
      <c r="Q5009" t="n">
        <v>0</v>
      </c>
      <c r="R5009" s="2" t="inlineStr"/>
    </row>
    <row r="5010" ht="15" customHeight="1">
      <c r="A5010" t="inlineStr">
        <is>
          <t>A 43897-2025</t>
        </is>
      </c>
      <c r="B5010" s="1" t="n">
        <v>45912.84896990741</v>
      </c>
      <c r="C5010" s="1" t="n">
        <v>45962</v>
      </c>
      <c r="D5010" t="inlineStr">
        <is>
          <t>SKÅNE LÄN</t>
        </is>
      </c>
      <c r="E5010" t="inlineStr">
        <is>
          <t>OSBY</t>
        </is>
      </c>
      <c r="G5010" t="n">
        <v>0.5</v>
      </c>
      <c r="H5010" t="n">
        <v>0</v>
      </c>
      <c r="I5010" t="n">
        <v>0</v>
      </c>
      <c r="J5010" t="n">
        <v>0</v>
      </c>
      <c r="K5010" t="n">
        <v>0</v>
      </c>
      <c r="L5010" t="n">
        <v>0</v>
      </c>
      <c r="M5010" t="n">
        <v>0</v>
      </c>
      <c r="N5010" t="n">
        <v>0</v>
      </c>
      <c r="O5010" t="n">
        <v>0</v>
      </c>
      <c r="P5010" t="n">
        <v>0</v>
      </c>
      <c r="Q5010" t="n">
        <v>0</v>
      </c>
      <c r="R5010" s="2" t="inlineStr"/>
    </row>
    <row r="5011" ht="15" customHeight="1">
      <c r="A5011" t="inlineStr">
        <is>
          <t>A 43882-2025</t>
        </is>
      </c>
      <c r="B5011" s="1" t="n">
        <v>45912</v>
      </c>
      <c r="C5011" s="1" t="n">
        <v>45962</v>
      </c>
      <c r="D5011" t="inlineStr">
        <is>
          <t>SKÅNE LÄN</t>
        </is>
      </c>
      <c r="E5011" t="inlineStr">
        <is>
          <t>BROMÖLLA</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43738-2025</t>
        </is>
      </c>
      <c r="B5012" s="1" t="n">
        <v>45912.45037037037</v>
      </c>
      <c r="C5012" s="1" t="n">
        <v>45962</v>
      </c>
      <c r="D5012" t="inlineStr">
        <is>
          <t>SKÅNE LÄN</t>
        </is>
      </c>
      <c r="E5012" t="inlineStr">
        <is>
          <t>HÄSSLEHOLM</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43930-2025</t>
        </is>
      </c>
      <c r="B5013" s="1" t="n">
        <v>45915.32856481482</v>
      </c>
      <c r="C5013" s="1" t="n">
        <v>45962</v>
      </c>
      <c r="D5013" t="inlineStr">
        <is>
          <t>SKÅNE LÄN</t>
        </is>
      </c>
      <c r="E5013" t="inlineStr">
        <is>
          <t>OSBY</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51597-2025</t>
        </is>
      </c>
      <c r="B5014" s="1" t="n">
        <v>45951.37163194444</v>
      </c>
      <c r="C5014" s="1" t="n">
        <v>45962</v>
      </c>
      <c r="D5014" t="inlineStr">
        <is>
          <t>SKÅNE LÄN</t>
        </is>
      </c>
      <c r="E5014" t="inlineStr">
        <is>
          <t>HÄSSLEHOLM</t>
        </is>
      </c>
      <c r="G5014" t="n">
        <v>3.5</v>
      </c>
      <c r="H5014" t="n">
        <v>0</v>
      </c>
      <c r="I5014" t="n">
        <v>0</v>
      </c>
      <c r="J5014" t="n">
        <v>0</v>
      </c>
      <c r="K5014" t="n">
        <v>0</v>
      </c>
      <c r="L5014" t="n">
        <v>0</v>
      </c>
      <c r="M5014" t="n">
        <v>0</v>
      </c>
      <c r="N5014" t="n">
        <v>0</v>
      </c>
      <c r="O5014" t="n">
        <v>0</v>
      </c>
      <c r="P5014" t="n">
        <v>0</v>
      </c>
      <c r="Q5014" t="n">
        <v>0</v>
      </c>
      <c r="R5014" s="2" t="inlineStr"/>
    </row>
    <row r="5015" ht="15" customHeight="1">
      <c r="A5015" t="inlineStr">
        <is>
          <t>A 53020-2025</t>
        </is>
      </c>
      <c r="B5015" s="1" t="n">
        <v>45957.90707175926</v>
      </c>
      <c r="C5015" s="1" t="n">
        <v>45962</v>
      </c>
      <c r="D5015" t="inlineStr">
        <is>
          <t>SKÅNE LÄN</t>
        </is>
      </c>
      <c r="E5015" t="inlineStr">
        <is>
          <t>HÄSSLEHOLM</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50997-2025</t>
        </is>
      </c>
      <c r="B5016" s="1" t="n">
        <v>45946</v>
      </c>
      <c r="C5016" s="1" t="n">
        <v>45962</v>
      </c>
      <c r="D5016" t="inlineStr">
        <is>
          <t>SKÅNE LÄN</t>
        </is>
      </c>
      <c r="E5016" t="inlineStr">
        <is>
          <t>HELSINGBORG</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43966-2025</t>
        </is>
      </c>
      <c r="B5017" s="1" t="n">
        <v>45915</v>
      </c>
      <c r="C5017" s="1" t="n">
        <v>45962</v>
      </c>
      <c r="D5017" t="inlineStr">
        <is>
          <t>SKÅNE LÄN</t>
        </is>
      </c>
      <c r="E5017" t="inlineStr">
        <is>
          <t>KRISTIANSTAD</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43939-2025</t>
        </is>
      </c>
      <c r="B5018" s="1" t="n">
        <v>45915.34508101852</v>
      </c>
      <c r="C5018" s="1" t="n">
        <v>45962</v>
      </c>
      <c r="D5018" t="inlineStr">
        <is>
          <t>SKÅNE LÄN</t>
        </is>
      </c>
      <c r="E5018" t="inlineStr">
        <is>
          <t>KRISTIANSTAD</t>
        </is>
      </c>
      <c r="G5018" t="n">
        <v>0.6</v>
      </c>
      <c r="H5018" t="n">
        <v>0</v>
      </c>
      <c r="I5018" t="n">
        <v>0</v>
      </c>
      <c r="J5018" t="n">
        <v>0</v>
      </c>
      <c r="K5018" t="n">
        <v>0</v>
      </c>
      <c r="L5018" t="n">
        <v>0</v>
      </c>
      <c r="M5018" t="n">
        <v>0</v>
      </c>
      <c r="N5018" t="n">
        <v>0</v>
      </c>
      <c r="O5018" t="n">
        <v>0</v>
      </c>
      <c r="P5018" t="n">
        <v>0</v>
      </c>
      <c r="Q5018" t="n">
        <v>0</v>
      </c>
      <c r="R5018" s="2" t="inlineStr"/>
    </row>
    <row r="5019" ht="15" customHeight="1">
      <c r="A5019" t="inlineStr">
        <is>
          <t>A 52519-2025</t>
        </is>
      </c>
      <c r="B5019" s="1" t="n">
        <v>45954.51563657408</v>
      </c>
      <c r="C5019" s="1" t="n">
        <v>45962</v>
      </c>
      <c r="D5019" t="inlineStr">
        <is>
          <t>SKÅNE LÄN</t>
        </is>
      </c>
      <c r="E5019" t="inlineStr">
        <is>
          <t>ÄNGELHOLM</t>
        </is>
      </c>
      <c r="G5019" t="n">
        <v>0.7</v>
      </c>
      <c r="H5019" t="n">
        <v>0</v>
      </c>
      <c r="I5019" t="n">
        <v>0</v>
      </c>
      <c r="J5019" t="n">
        <v>0</v>
      </c>
      <c r="K5019" t="n">
        <v>0</v>
      </c>
      <c r="L5019" t="n">
        <v>0</v>
      </c>
      <c r="M5019" t="n">
        <v>0</v>
      </c>
      <c r="N5019" t="n">
        <v>0</v>
      </c>
      <c r="O5019" t="n">
        <v>0</v>
      </c>
      <c r="P5019" t="n">
        <v>0</v>
      </c>
      <c r="Q5019" t="n">
        <v>0</v>
      </c>
      <c r="R5019" s="2" t="inlineStr"/>
    </row>
    <row r="5020" ht="15" customHeight="1">
      <c r="A5020" t="inlineStr">
        <is>
          <t>A 34154-2025</t>
        </is>
      </c>
      <c r="B5020" s="1" t="n">
        <v>45845</v>
      </c>
      <c r="C5020" s="1" t="n">
        <v>45962</v>
      </c>
      <c r="D5020" t="inlineStr">
        <is>
          <t>SKÅNE LÄN</t>
        </is>
      </c>
      <c r="E5020" t="inlineStr">
        <is>
          <t>HÖRBY</t>
        </is>
      </c>
      <c r="G5020" t="n">
        <v>5</v>
      </c>
      <c r="H5020" t="n">
        <v>0</v>
      </c>
      <c r="I5020" t="n">
        <v>0</v>
      </c>
      <c r="J5020" t="n">
        <v>0</v>
      </c>
      <c r="K5020" t="n">
        <v>0</v>
      </c>
      <c r="L5020" t="n">
        <v>0</v>
      </c>
      <c r="M5020" t="n">
        <v>0</v>
      </c>
      <c r="N5020" t="n">
        <v>0</v>
      </c>
      <c r="O5020" t="n">
        <v>0</v>
      </c>
      <c r="P5020" t="n">
        <v>0</v>
      </c>
      <c r="Q5020" t="n">
        <v>0</v>
      </c>
      <c r="R5020" s="2" t="inlineStr"/>
    </row>
    <row r="5021" ht="15" customHeight="1">
      <c r="A5021" t="inlineStr">
        <is>
          <t>A 32524-2025</t>
        </is>
      </c>
      <c r="B5021" s="1" t="n">
        <v>45838</v>
      </c>
      <c r="C5021" s="1" t="n">
        <v>45962</v>
      </c>
      <c r="D5021" t="inlineStr">
        <is>
          <t>SKÅNE LÄN</t>
        </is>
      </c>
      <c r="E5021" t="inlineStr">
        <is>
          <t>HÖRBY</t>
        </is>
      </c>
      <c r="G5021" t="n">
        <v>1.2</v>
      </c>
      <c r="H5021" t="n">
        <v>0</v>
      </c>
      <c r="I5021" t="n">
        <v>0</v>
      </c>
      <c r="J5021" t="n">
        <v>0</v>
      </c>
      <c r="K5021" t="n">
        <v>0</v>
      </c>
      <c r="L5021" t="n">
        <v>0</v>
      </c>
      <c r="M5021" t="n">
        <v>0</v>
      </c>
      <c r="N5021" t="n">
        <v>0</v>
      </c>
      <c r="O5021" t="n">
        <v>0</v>
      </c>
      <c r="P5021" t="n">
        <v>0</v>
      </c>
      <c r="Q5021" t="n">
        <v>0</v>
      </c>
      <c r="R5021" s="2" t="inlineStr"/>
    </row>
    <row r="5022" ht="15" customHeight="1">
      <c r="A5022" t="inlineStr">
        <is>
          <t>A 52406-2025</t>
        </is>
      </c>
      <c r="B5022" s="1" t="n">
        <v>45954.356875</v>
      </c>
      <c r="C5022" s="1" t="n">
        <v>45962</v>
      </c>
      <c r="D5022" t="inlineStr">
        <is>
          <t>SKÅNE LÄN</t>
        </is>
      </c>
      <c r="E5022" t="inlineStr">
        <is>
          <t>KRISTIANSTAD</t>
        </is>
      </c>
      <c r="F5022" t="inlineStr">
        <is>
          <t>Övriga Aktiebolag</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52409-2025</t>
        </is>
      </c>
      <c r="B5023" s="1" t="n">
        <v>45954.36238425926</v>
      </c>
      <c r="C5023" s="1" t="n">
        <v>45962</v>
      </c>
      <c r="D5023" t="inlineStr">
        <is>
          <t>SKÅNE LÄN</t>
        </is>
      </c>
      <c r="E5023" t="inlineStr">
        <is>
          <t>KRISTIANSTAD</t>
        </is>
      </c>
      <c r="F5023" t="inlineStr">
        <is>
          <t>Övriga Aktiebolag</t>
        </is>
      </c>
      <c r="G5023" t="n">
        <v>12.1</v>
      </c>
      <c r="H5023" t="n">
        <v>0</v>
      </c>
      <c r="I5023" t="n">
        <v>0</v>
      </c>
      <c r="J5023" t="n">
        <v>0</v>
      </c>
      <c r="K5023" t="n">
        <v>0</v>
      </c>
      <c r="L5023" t="n">
        <v>0</v>
      </c>
      <c r="M5023" t="n">
        <v>0</v>
      </c>
      <c r="N5023" t="n">
        <v>0</v>
      </c>
      <c r="O5023" t="n">
        <v>0</v>
      </c>
      <c r="P5023" t="n">
        <v>0</v>
      </c>
      <c r="Q5023" t="n">
        <v>0</v>
      </c>
      <c r="R5023" s="2" t="inlineStr"/>
    </row>
    <row r="5024" ht="15" customHeight="1">
      <c r="A5024" t="inlineStr">
        <is>
          <t>A 42412-2025</t>
        </is>
      </c>
      <c r="B5024" s="1" t="n">
        <v>45905</v>
      </c>
      <c r="C5024" s="1" t="n">
        <v>45962</v>
      </c>
      <c r="D5024" t="inlineStr">
        <is>
          <t>SKÅNE LÄN</t>
        </is>
      </c>
      <c r="E5024" t="inlineStr">
        <is>
          <t>BÅSTAD</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47870-2025</t>
        </is>
      </c>
      <c r="B5025" s="1" t="n">
        <v>45932</v>
      </c>
      <c r="C5025" s="1" t="n">
        <v>45962</v>
      </c>
      <c r="D5025" t="inlineStr">
        <is>
          <t>SKÅNE LÄN</t>
        </is>
      </c>
      <c r="E5025" t="inlineStr">
        <is>
          <t>ESLÖV</t>
        </is>
      </c>
      <c r="G5025" t="n">
        <v>6.8</v>
      </c>
      <c r="H5025" t="n">
        <v>0</v>
      </c>
      <c r="I5025" t="n">
        <v>0</v>
      </c>
      <c r="J5025" t="n">
        <v>0</v>
      </c>
      <c r="K5025" t="n">
        <v>0</v>
      </c>
      <c r="L5025" t="n">
        <v>0</v>
      </c>
      <c r="M5025" t="n">
        <v>0</v>
      </c>
      <c r="N5025" t="n">
        <v>0</v>
      </c>
      <c r="O5025" t="n">
        <v>0</v>
      </c>
      <c r="P5025" t="n">
        <v>0</v>
      </c>
      <c r="Q5025" t="n">
        <v>0</v>
      </c>
      <c r="R5025" s="2" t="inlineStr"/>
    </row>
    <row r="5026" ht="15" customHeight="1">
      <c r="A5026" t="inlineStr">
        <is>
          <t>A 52980-2025</t>
        </is>
      </c>
      <c r="B5026" s="1" t="n">
        <v>45957.68721064815</v>
      </c>
      <c r="C5026" s="1" t="n">
        <v>45962</v>
      </c>
      <c r="D5026" t="inlineStr">
        <is>
          <t>SKÅNE LÄN</t>
        </is>
      </c>
      <c r="E5026" t="inlineStr">
        <is>
          <t>KRISTIANSTAD</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34610-2025</t>
        </is>
      </c>
      <c r="B5027" s="1" t="n">
        <v>45846</v>
      </c>
      <c r="C5027" s="1" t="n">
        <v>45962</v>
      </c>
      <c r="D5027" t="inlineStr">
        <is>
          <t>SKÅNE LÄN</t>
        </is>
      </c>
      <c r="E5027" t="inlineStr">
        <is>
          <t>KRISTIANSTAD</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52243-2025</t>
        </is>
      </c>
      <c r="B5028" s="1" t="n">
        <v>45953</v>
      </c>
      <c r="C5028" s="1" t="n">
        <v>45962</v>
      </c>
      <c r="D5028" t="inlineStr">
        <is>
          <t>SKÅNE LÄN</t>
        </is>
      </c>
      <c r="E5028" t="inlineStr">
        <is>
          <t>ÖRKELLJUNGA</t>
        </is>
      </c>
      <c r="G5028" t="n">
        <v>4.6</v>
      </c>
      <c r="H5028" t="n">
        <v>0</v>
      </c>
      <c r="I5028" t="n">
        <v>0</v>
      </c>
      <c r="J5028" t="n">
        <v>0</v>
      </c>
      <c r="K5028" t="n">
        <v>0</v>
      </c>
      <c r="L5028" t="n">
        <v>0</v>
      </c>
      <c r="M5028" t="n">
        <v>0</v>
      </c>
      <c r="N5028" t="n">
        <v>0</v>
      </c>
      <c r="O5028" t="n">
        <v>0</v>
      </c>
      <c r="P5028" t="n">
        <v>0</v>
      </c>
      <c r="Q5028" t="n">
        <v>0</v>
      </c>
      <c r="R5028" s="2" t="inlineStr"/>
    </row>
    <row r="5029" ht="15" customHeight="1">
      <c r="A5029" t="inlineStr">
        <is>
          <t>A 34147-2025</t>
        </is>
      </c>
      <c r="B5029" s="1" t="n">
        <v>45845</v>
      </c>
      <c r="C5029" s="1" t="n">
        <v>45962</v>
      </c>
      <c r="D5029" t="inlineStr">
        <is>
          <t>SKÅNE LÄN</t>
        </is>
      </c>
      <c r="E5029" t="inlineStr">
        <is>
          <t>HÖRBY</t>
        </is>
      </c>
      <c r="G5029" t="n">
        <v>18.7</v>
      </c>
      <c r="H5029" t="n">
        <v>0</v>
      </c>
      <c r="I5029" t="n">
        <v>0</v>
      </c>
      <c r="J5029" t="n">
        <v>0</v>
      </c>
      <c r="K5029" t="n">
        <v>0</v>
      </c>
      <c r="L5029" t="n">
        <v>0</v>
      </c>
      <c r="M5029" t="n">
        <v>0</v>
      </c>
      <c r="N5029" t="n">
        <v>0</v>
      </c>
      <c r="O5029" t="n">
        <v>0</v>
      </c>
      <c r="P5029" t="n">
        <v>0</v>
      </c>
      <c r="Q5029" t="n">
        <v>0</v>
      </c>
      <c r="R5029" s="2" t="inlineStr"/>
    </row>
    <row r="5030" ht="15" customHeight="1">
      <c r="A5030" t="inlineStr">
        <is>
          <t>A 53290-2025</t>
        </is>
      </c>
      <c r="B5030" s="1" t="n">
        <v>45958</v>
      </c>
      <c r="C5030" s="1" t="n">
        <v>45962</v>
      </c>
      <c r="D5030" t="inlineStr">
        <is>
          <t>SKÅNE LÄN</t>
        </is>
      </c>
      <c r="E5030" t="inlineStr">
        <is>
          <t>KLIPPAN</t>
        </is>
      </c>
      <c r="G5030" t="n">
        <v>0.9</v>
      </c>
      <c r="H5030" t="n">
        <v>0</v>
      </c>
      <c r="I5030" t="n">
        <v>0</v>
      </c>
      <c r="J5030" t="n">
        <v>0</v>
      </c>
      <c r="K5030" t="n">
        <v>0</v>
      </c>
      <c r="L5030" t="n">
        <v>0</v>
      </c>
      <c r="M5030" t="n">
        <v>0</v>
      </c>
      <c r="N5030" t="n">
        <v>0</v>
      </c>
      <c r="O5030" t="n">
        <v>0</v>
      </c>
      <c r="P5030" t="n">
        <v>0</v>
      </c>
      <c r="Q5030" t="n">
        <v>0</v>
      </c>
      <c r="R5030" s="2" t="inlineStr"/>
    </row>
    <row r="5031" ht="15" customHeight="1">
      <c r="A5031" t="inlineStr">
        <is>
          <t>A 44624-2025</t>
        </is>
      </c>
      <c r="B5031" s="1" t="n">
        <v>45917.47152777778</v>
      </c>
      <c r="C5031" s="1" t="n">
        <v>45962</v>
      </c>
      <c r="D5031" t="inlineStr">
        <is>
          <t>SKÅNE LÄN</t>
        </is>
      </c>
      <c r="E5031" t="inlineStr">
        <is>
          <t>HÄSSLEHOLM</t>
        </is>
      </c>
      <c r="G5031" t="n">
        <v>0.7</v>
      </c>
      <c r="H5031" t="n">
        <v>0</v>
      </c>
      <c r="I5031" t="n">
        <v>0</v>
      </c>
      <c r="J5031" t="n">
        <v>0</v>
      </c>
      <c r="K5031" t="n">
        <v>0</v>
      </c>
      <c r="L5031" t="n">
        <v>0</v>
      </c>
      <c r="M5031" t="n">
        <v>0</v>
      </c>
      <c r="N5031" t="n">
        <v>0</v>
      </c>
      <c r="O5031" t="n">
        <v>0</v>
      </c>
      <c r="P5031" t="n">
        <v>0</v>
      </c>
      <c r="Q5031" t="n">
        <v>0</v>
      </c>
      <c r="R5031" s="2" t="inlineStr"/>
    </row>
    <row r="5032" ht="15" customHeight="1">
      <c r="A5032" t="inlineStr">
        <is>
          <t>A 44260-2025</t>
        </is>
      </c>
      <c r="B5032" s="1" t="n">
        <v>45915.88474537037</v>
      </c>
      <c r="C5032" s="1" t="n">
        <v>45962</v>
      </c>
      <c r="D5032" t="inlineStr">
        <is>
          <t>SKÅNE LÄN</t>
        </is>
      </c>
      <c r="E5032" t="inlineStr">
        <is>
          <t>KRISTIANSTAD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35526-2025</t>
        </is>
      </c>
      <c r="B5033" s="1" t="n">
        <v>45856</v>
      </c>
      <c r="C5033" s="1" t="n">
        <v>45962</v>
      </c>
      <c r="D5033" t="inlineStr">
        <is>
          <t>SKÅNE LÄN</t>
        </is>
      </c>
      <c r="E5033" t="inlineStr">
        <is>
          <t>ÖSTRA GÖINGE</t>
        </is>
      </c>
      <c r="G5033" t="n">
        <v>4.2</v>
      </c>
      <c r="H5033" t="n">
        <v>0</v>
      </c>
      <c r="I5033" t="n">
        <v>0</v>
      </c>
      <c r="J5033" t="n">
        <v>0</v>
      </c>
      <c r="K5033" t="n">
        <v>0</v>
      </c>
      <c r="L5033" t="n">
        <v>0</v>
      </c>
      <c r="M5033" t="n">
        <v>0</v>
      </c>
      <c r="N5033" t="n">
        <v>0</v>
      </c>
      <c r="O5033" t="n">
        <v>0</v>
      </c>
      <c r="P5033" t="n">
        <v>0</v>
      </c>
      <c r="Q5033" t="n">
        <v>0</v>
      </c>
      <c r="R5033" s="2" t="inlineStr"/>
    </row>
    <row r="5034" ht="15" customHeight="1">
      <c r="A5034" t="inlineStr">
        <is>
          <t>A 52929-2025</t>
        </is>
      </c>
      <c r="B5034" s="1" t="n">
        <v>45957.62021990741</v>
      </c>
      <c r="C5034" s="1" t="n">
        <v>45962</v>
      </c>
      <c r="D5034" t="inlineStr">
        <is>
          <t>SKÅNE LÄN</t>
        </is>
      </c>
      <c r="E5034" t="inlineStr">
        <is>
          <t>HÖRBY</t>
        </is>
      </c>
      <c r="F5034" t="inlineStr">
        <is>
          <t>Sveaskog</t>
        </is>
      </c>
      <c r="G5034" t="n">
        <v>8.300000000000001</v>
      </c>
      <c r="H5034" t="n">
        <v>0</v>
      </c>
      <c r="I5034" t="n">
        <v>0</v>
      </c>
      <c r="J5034" t="n">
        <v>0</v>
      </c>
      <c r="K5034" t="n">
        <v>0</v>
      </c>
      <c r="L5034" t="n">
        <v>0</v>
      </c>
      <c r="M5034" t="n">
        <v>0</v>
      </c>
      <c r="N5034" t="n">
        <v>0</v>
      </c>
      <c r="O5034" t="n">
        <v>0</v>
      </c>
      <c r="P5034" t="n">
        <v>0</v>
      </c>
      <c r="Q5034" t="n">
        <v>0</v>
      </c>
      <c r="R5034" s="2" t="inlineStr"/>
    </row>
    <row r="5035" ht="15" customHeight="1">
      <c r="A5035" t="inlineStr">
        <is>
          <t>A 52930-2025</t>
        </is>
      </c>
      <c r="B5035" s="1" t="n">
        <v>45957.6219212963</v>
      </c>
      <c r="C5035" s="1" t="n">
        <v>45962</v>
      </c>
      <c r="D5035" t="inlineStr">
        <is>
          <t>SKÅNE LÄN</t>
        </is>
      </c>
      <c r="E5035" t="inlineStr">
        <is>
          <t>HÖRBY</t>
        </is>
      </c>
      <c r="F5035" t="inlineStr">
        <is>
          <t>Sveaskog</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39796-2025</t>
        </is>
      </c>
      <c r="B5036" s="1" t="n">
        <v>45891</v>
      </c>
      <c r="C5036" s="1" t="n">
        <v>45962</v>
      </c>
      <c r="D5036" t="inlineStr">
        <is>
          <t>SKÅNE LÄN</t>
        </is>
      </c>
      <c r="E5036" t="inlineStr">
        <is>
          <t>TOMELILLA</t>
        </is>
      </c>
      <c r="G5036" t="n">
        <v>3.9</v>
      </c>
      <c r="H5036" t="n">
        <v>0</v>
      </c>
      <c r="I5036" t="n">
        <v>0</v>
      </c>
      <c r="J5036" t="n">
        <v>0</v>
      </c>
      <c r="K5036" t="n">
        <v>0</v>
      </c>
      <c r="L5036" t="n">
        <v>0</v>
      </c>
      <c r="M5036" t="n">
        <v>0</v>
      </c>
      <c r="N5036" t="n">
        <v>0</v>
      </c>
      <c r="O5036" t="n">
        <v>0</v>
      </c>
      <c r="P5036" t="n">
        <v>0</v>
      </c>
      <c r="Q5036" t="n">
        <v>0</v>
      </c>
      <c r="R5036" s="2" t="inlineStr"/>
    </row>
    <row r="5037" ht="15" customHeight="1">
      <c r="A5037" t="inlineStr">
        <is>
          <t>A 52246-2025</t>
        </is>
      </c>
      <c r="B5037" s="1" t="n">
        <v>45953</v>
      </c>
      <c r="C5037" s="1" t="n">
        <v>45962</v>
      </c>
      <c r="D5037" t="inlineStr">
        <is>
          <t>SKÅNE LÄN</t>
        </is>
      </c>
      <c r="E5037" t="inlineStr">
        <is>
          <t>ÖRKELLJUNGA</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44364-2025</t>
        </is>
      </c>
      <c r="B5038" s="1" t="n">
        <v>45916.45373842592</v>
      </c>
      <c r="C5038" s="1" t="n">
        <v>45962</v>
      </c>
      <c r="D5038" t="inlineStr">
        <is>
          <t>SKÅNE LÄN</t>
        </is>
      </c>
      <c r="E5038" t="inlineStr">
        <is>
          <t>ÖRKELLJUNGA</t>
        </is>
      </c>
      <c r="G5038" t="n">
        <v>5.6</v>
      </c>
      <c r="H5038" t="n">
        <v>0</v>
      </c>
      <c r="I5038" t="n">
        <v>0</v>
      </c>
      <c r="J5038" t="n">
        <v>0</v>
      </c>
      <c r="K5038" t="n">
        <v>0</v>
      </c>
      <c r="L5038" t="n">
        <v>0</v>
      </c>
      <c r="M5038" t="n">
        <v>0</v>
      </c>
      <c r="N5038" t="n">
        <v>0</v>
      </c>
      <c r="O5038" t="n">
        <v>0</v>
      </c>
      <c r="P5038" t="n">
        <v>0</v>
      </c>
      <c r="Q5038" t="n">
        <v>0</v>
      </c>
      <c r="R5038" s="2" t="inlineStr"/>
    </row>
    <row r="5039" ht="15" customHeight="1">
      <c r="A5039" t="inlineStr">
        <is>
          <t>A 51536-2025</t>
        </is>
      </c>
      <c r="B5039" s="1" t="n">
        <v>45950</v>
      </c>
      <c r="C5039" s="1" t="n">
        <v>45962</v>
      </c>
      <c r="D5039" t="inlineStr">
        <is>
          <t>SKÅNE LÄN</t>
        </is>
      </c>
      <c r="E5039" t="inlineStr">
        <is>
          <t>LUND</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44611-2025</t>
        </is>
      </c>
      <c r="B5040" s="1" t="n">
        <v>45917.45109953704</v>
      </c>
      <c r="C5040" s="1" t="n">
        <v>45962</v>
      </c>
      <c r="D5040" t="inlineStr">
        <is>
          <t>SKÅNE LÄN</t>
        </is>
      </c>
      <c r="E5040" t="inlineStr">
        <is>
          <t>HÄSSLEHOLM</t>
        </is>
      </c>
      <c r="G5040" t="n">
        <v>1.3</v>
      </c>
      <c r="H5040" t="n">
        <v>0</v>
      </c>
      <c r="I5040" t="n">
        <v>0</v>
      </c>
      <c r="J5040" t="n">
        <v>0</v>
      </c>
      <c r="K5040" t="n">
        <v>0</v>
      </c>
      <c r="L5040" t="n">
        <v>0</v>
      </c>
      <c r="M5040" t="n">
        <v>0</v>
      </c>
      <c r="N5040" t="n">
        <v>0</v>
      </c>
      <c r="O5040" t="n">
        <v>0</v>
      </c>
      <c r="P5040" t="n">
        <v>0</v>
      </c>
      <c r="Q5040" t="n">
        <v>0</v>
      </c>
      <c r="R5040" s="2" t="inlineStr"/>
    </row>
    <row r="5041" ht="15" customHeight="1">
      <c r="A5041" t="inlineStr">
        <is>
          <t>A 44330-2025</t>
        </is>
      </c>
      <c r="B5041" s="1" t="n">
        <v>45916.42120370371</v>
      </c>
      <c r="C5041" s="1" t="n">
        <v>45962</v>
      </c>
      <c r="D5041" t="inlineStr">
        <is>
          <t>SKÅNE LÄN</t>
        </is>
      </c>
      <c r="E5041" t="inlineStr">
        <is>
          <t>HÄSSLEHOLM</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44523-2025</t>
        </is>
      </c>
      <c r="B5042" s="1" t="n">
        <v>45916</v>
      </c>
      <c r="C5042" s="1" t="n">
        <v>45962</v>
      </c>
      <c r="D5042" t="inlineStr">
        <is>
          <t>SKÅNE LÄN</t>
        </is>
      </c>
      <c r="E5042" t="inlineStr">
        <is>
          <t>HÄSSLEHOLM</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39791-2025</t>
        </is>
      </c>
      <c r="B5043" s="1" t="n">
        <v>45891</v>
      </c>
      <c r="C5043" s="1" t="n">
        <v>45962</v>
      </c>
      <c r="D5043" t="inlineStr">
        <is>
          <t>SKÅNE LÄN</t>
        </is>
      </c>
      <c r="E5043" t="inlineStr">
        <is>
          <t>TOMELILLA</t>
        </is>
      </c>
      <c r="G5043" t="n">
        <v>3.8</v>
      </c>
      <c r="H5043" t="n">
        <v>0</v>
      </c>
      <c r="I5043" t="n">
        <v>0</v>
      </c>
      <c r="J5043" t="n">
        <v>0</v>
      </c>
      <c r="K5043" t="n">
        <v>0</v>
      </c>
      <c r="L5043" t="n">
        <v>0</v>
      </c>
      <c r="M5043" t="n">
        <v>0</v>
      </c>
      <c r="N5043" t="n">
        <v>0</v>
      </c>
      <c r="O5043" t="n">
        <v>0</v>
      </c>
      <c r="P5043" t="n">
        <v>0</v>
      </c>
      <c r="Q5043" t="n">
        <v>0</v>
      </c>
      <c r="R5043" s="2" t="inlineStr"/>
    </row>
    <row r="5044" ht="15" customHeight="1">
      <c r="A5044" t="inlineStr">
        <is>
          <t>A 53017-2025</t>
        </is>
      </c>
      <c r="B5044" s="1" t="n">
        <v>45957.89271990741</v>
      </c>
      <c r="C5044" s="1" t="n">
        <v>45962</v>
      </c>
      <c r="D5044" t="inlineStr">
        <is>
          <t>SKÅNE LÄN</t>
        </is>
      </c>
      <c r="E5044" t="inlineStr">
        <is>
          <t>ÖRKELLJUNGA</t>
        </is>
      </c>
      <c r="G5044" t="n">
        <v>1</v>
      </c>
      <c r="H5044" t="n">
        <v>0</v>
      </c>
      <c r="I5044" t="n">
        <v>0</v>
      </c>
      <c r="J5044" t="n">
        <v>0</v>
      </c>
      <c r="K5044" t="n">
        <v>0</v>
      </c>
      <c r="L5044" t="n">
        <v>0</v>
      </c>
      <c r="M5044" t="n">
        <v>0</v>
      </c>
      <c r="N5044" t="n">
        <v>0</v>
      </c>
      <c r="O5044" t="n">
        <v>0</v>
      </c>
      <c r="P5044" t="n">
        <v>0</v>
      </c>
      <c r="Q5044" t="n">
        <v>0</v>
      </c>
      <c r="R5044" s="2" t="inlineStr"/>
    </row>
    <row r="5045" ht="15" customHeight="1">
      <c r="A5045" t="inlineStr">
        <is>
          <t>A 53018-2025</t>
        </is>
      </c>
      <c r="B5045" s="1" t="n">
        <v>45957.90064814815</v>
      </c>
      <c r="C5045" s="1" t="n">
        <v>45962</v>
      </c>
      <c r="D5045" t="inlineStr">
        <is>
          <t>SKÅNE LÄN</t>
        </is>
      </c>
      <c r="E5045" t="inlineStr">
        <is>
          <t>HÄSSLEHOLM</t>
        </is>
      </c>
      <c r="G5045" t="n">
        <v>2.2</v>
      </c>
      <c r="H5045" t="n">
        <v>0</v>
      </c>
      <c r="I5045" t="n">
        <v>0</v>
      </c>
      <c r="J5045" t="n">
        <v>0</v>
      </c>
      <c r="K5045" t="n">
        <v>0</v>
      </c>
      <c r="L5045" t="n">
        <v>0</v>
      </c>
      <c r="M5045" t="n">
        <v>0</v>
      </c>
      <c r="N5045" t="n">
        <v>0</v>
      </c>
      <c r="O5045" t="n">
        <v>0</v>
      </c>
      <c r="P5045" t="n">
        <v>0</v>
      </c>
      <c r="Q5045" t="n">
        <v>0</v>
      </c>
      <c r="R5045" s="2" t="inlineStr"/>
    </row>
    <row r="5046" ht="15" customHeight="1">
      <c r="A5046" t="inlineStr">
        <is>
          <t>A 40994-2025</t>
        </is>
      </c>
      <c r="B5046" s="1" t="n">
        <v>45898</v>
      </c>
      <c r="C5046" s="1" t="n">
        <v>45962</v>
      </c>
      <c r="D5046" t="inlineStr">
        <is>
          <t>SKÅNE LÄN</t>
        </is>
      </c>
      <c r="E5046" t="inlineStr">
        <is>
          <t>HÖRBY</t>
        </is>
      </c>
      <c r="G5046" t="n">
        <v>5.6</v>
      </c>
      <c r="H5046" t="n">
        <v>0</v>
      </c>
      <c r="I5046" t="n">
        <v>0</v>
      </c>
      <c r="J5046" t="n">
        <v>0</v>
      </c>
      <c r="K5046" t="n">
        <v>0</v>
      </c>
      <c r="L5046" t="n">
        <v>0</v>
      </c>
      <c r="M5046" t="n">
        <v>0</v>
      </c>
      <c r="N5046" t="n">
        <v>0</v>
      </c>
      <c r="O5046" t="n">
        <v>0</v>
      </c>
      <c r="P5046" t="n">
        <v>0</v>
      </c>
      <c r="Q5046" t="n">
        <v>0</v>
      </c>
      <c r="R5046" s="2" t="inlineStr"/>
    </row>
    <row r="5047" ht="15" customHeight="1">
      <c r="A5047" t="inlineStr">
        <is>
          <t>A 44316-2025</t>
        </is>
      </c>
      <c r="B5047" s="1" t="n">
        <v>45916.39457175926</v>
      </c>
      <c r="C5047" s="1" t="n">
        <v>45962</v>
      </c>
      <c r="D5047" t="inlineStr">
        <is>
          <t>SKÅNE LÄN</t>
        </is>
      </c>
      <c r="E5047" t="inlineStr">
        <is>
          <t>HÖRBY</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44515-2025</t>
        </is>
      </c>
      <c r="B5048" s="1" t="n">
        <v>45916.7062037037</v>
      </c>
      <c r="C5048" s="1" t="n">
        <v>45962</v>
      </c>
      <c r="D5048" t="inlineStr">
        <is>
          <t>SKÅNE LÄN</t>
        </is>
      </c>
      <c r="E5048" t="inlineStr">
        <is>
          <t>HÄSSLEHOLM</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53056-2025</t>
        </is>
      </c>
      <c r="B5049" s="1" t="n">
        <v>45958.36518518518</v>
      </c>
      <c r="C5049" s="1" t="n">
        <v>45962</v>
      </c>
      <c r="D5049" t="inlineStr">
        <is>
          <t>SKÅNE LÄN</t>
        </is>
      </c>
      <c r="E5049" t="inlineStr">
        <is>
          <t>HÄSSLEHOLM</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44355-2025</t>
        </is>
      </c>
      <c r="B5050" s="1" t="n">
        <v>45916.44782407407</v>
      </c>
      <c r="C5050" s="1" t="n">
        <v>45962</v>
      </c>
      <c r="D5050" t="inlineStr">
        <is>
          <t>SKÅNE LÄN</t>
        </is>
      </c>
      <c r="E5050" t="inlineStr">
        <is>
          <t>ÖRKELLJUNGA</t>
        </is>
      </c>
      <c r="G5050" t="n">
        <v>4.5</v>
      </c>
      <c r="H5050" t="n">
        <v>0</v>
      </c>
      <c r="I5050" t="n">
        <v>0</v>
      </c>
      <c r="J5050" t="n">
        <v>0</v>
      </c>
      <c r="K5050" t="n">
        <v>0</v>
      </c>
      <c r="L5050" t="n">
        <v>0</v>
      </c>
      <c r="M5050" t="n">
        <v>0</v>
      </c>
      <c r="N5050" t="n">
        <v>0</v>
      </c>
      <c r="O5050" t="n">
        <v>0</v>
      </c>
      <c r="P5050" t="n">
        <v>0</v>
      </c>
      <c r="Q5050" t="n">
        <v>0</v>
      </c>
      <c r="R5050" s="2" t="inlineStr"/>
    </row>
    <row r="5051" ht="15" customHeight="1">
      <c r="A5051" t="inlineStr">
        <is>
          <t>A 53163-2025</t>
        </is>
      </c>
      <c r="B5051" s="1" t="n">
        <v>45958</v>
      </c>
      <c r="C5051" s="1" t="n">
        <v>45962</v>
      </c>
      <c r="D5051" t="inlineStr">
        <is>
          <t>SKÅNE LÄN</t>
        </is>
      </c>
      <c r="E5051" t="inlineStr">
        <is>
          <t>ÖRKELLJUNGA</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53182-2025</t>
        </is>
      </c>
      <c r="B5052" s="1" t="n">
        <v>45958.54703703704</v>
      </c>
      <c r="C5052" s="1" t="n">
        <v>45962</v>
      </c>
      <c r="D5052" t="inlineStr">
        <is>
          <t>SKÅNE LÄN</t>
        </is>
      </c>
      <c r="E5052" t="inlineStr">
        <is>
          <t>KRISTIANSTAD</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43004-2025</t>
        </is>
      </c>
      <c r="B5053" s="1" t="n">
        <v>45909</v>
      </c>
      <c r="C5053" s="1" t="n">
        <v>45962</v>
      </c>
      <c r="D5053" t="inlineStr">
        <is>
          <t>SKÅNE LÄN</t>
        </is>
      </c>
      <c r="E5053" t="inlineStr">
        <is>
          <t>SVALÖV</t>
        </is>
      </c>
      <c r="G5053" t="n">
        <v>1.6</v>
      </c>
      <c r="H5053" t="n">
        <v>0</v>
      </c>
      <c r="I5053" t="n">
        <v>0</v>
      </c>
      <c r="J5053" t="n">
        <v>0</v>
      </c>
      <c r="K5053" t="n">
        <v>0</v>
      </c>
      <c r="L5053" t="n">
        <v>0</v>
      </c>
      <c r="M5053" t="n">
        <v>0</v>
      </c>
      <c r="N5053" t="n">
        <v>0</v>
      </c>
      <c r="O5053" t="n">
        <v>0</v>
      </c>
      <c r="P5053" t="n">
        <v>0</v>
      </c>
      <c r="Q5053" t="n">
        <v>0</v>
      </c>
      <c r="R5053" s="2" t="inlineStr"/>
    </row>
    <row r="5054" ht="15" customHeight="1">
      <c r="A5054" t="inlineStr">
        <is>
          <t>A 53255-2025</t>
        </is>
      </c>
      <c r="B5054" s="1" t="n">
        <v>45958.66930555556</v>
      </c>
      <c r="C5054" s="1" t="n">
        <v>45962</v>
      </c>
      <c r="D5054" t="inlineStr">
        <is>
          <t>SKÅNE LÄN</t>
        </is>
      </c>
      <c r="E5054" t="inlineStr">
        <is>
          <t>ÖSTRA GÖINGE</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44616-2025</t>
        </is>
      </c>
      <c r="B5055" s="1" t="n">
        <v>45917.45572916666</v>
      </c>
      <c r="C5055" s="1" t="n">
        <v>45962</v>
      </c>
      <c r="D5055" t="inlineStr">
        <is>
          <t>SKÅNE LÄN</t>
        </is>
      </c>
      <c r="E5055" t="inlineStr">
        <is>
          <t>HÄSSLEHOLM</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44551-2025</t>
        </is>
      </c>
      <c r="B5056" s="1" t="n">
        <v>45917.3375</v>
      </c>
      <c r="C5056" s="1" t="n">
        <v>45962</v>
      </c>
      <c r="D5056" t="inlineStr">
        <is>
          <t>SKÅNE LÄN</t>
        </is>
      </c>
      <c r="E5056" t="inlineStr">
        <is>
          <t>OSBY</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8194-2025</t>
        </is>
      </c>
      <c r="B5057" s="1" t="n">
        <v>45708</v>
      </c>
      <c r="C5057" s="1" t="n">
        <v>45962</v>
      </c>
      <c r="D5057" t="inlineStr">
        <is>
          <t>SKÅNE LÄN</t>
        </is>
      </c>
      <c r="E5057" t="inlineStr">
        <is>
          <t>HELSINGBORG</t>
        </is>
      </c>
      <c r="G5057" t="n">
        <v>1.9</v>
      </c>
      <c r="H5057" t="n">
        <v>0</v>
      </c>
      <c r="I5057" t="n">
        <v>0</v>
      </c>
      <c r="J5057" t="n">
        <v>0</v>
      </c>
      <c r="K5057" t="n">
        <v>0</v>
      </c>
      <c r="L5057" t="n">
        <v>0</v>
      </c>
      <c r="M5057" t="n">
        <v>0</v>
      </c>
      <c r="N5057" t="n">
        <v>0</v>
      </c>
      <c r="O5057" t="n">
        <v>0</v>
      </c>
      <c r="P5057" t="n">
        <v>0</v>
      </c>
      <c r="Q5057" t="n">
        <v>0</v>
      </c>
      <c r="R5057" s="2" t="inlineStr"/>
    </row>
    <row r="5058" ht="15" customHeight="1">
      <c r="A5058" t="inlineStr">
        <is>
          <t>A 53245-2025</t>
        </is>
      </c>
      <c r="B5058" s="1" t="n">
        <v>45958.64665509259</v>
      </c>
      <c r="C5058" s="1" t="n">
        <v>45962</v>
      </c>
      <c r="D5058" t="inlineStr">
        <is>
          <t>SKÅNE LÄN</t>
        </is>
      </c>
      <c r="E5058" t="inlineStr">
        <is>
          <t>PERSTORP</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53289-2025</t>
        </is>
      </c>
      <c r="B5059" s="1" t="n">
        <v>45958</v>
      </c>
      <c r="C5059" s="1" t="n">
        <v>45962</v>
      </c>
      <c r="D5059" t="inlineStr">
        <is>
          <t>SKÅNE LÄN</t>
        </is>
      </c>
      <c r="E5059" t="inlineStr">
        <is>
          <t>KLIPPAN</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53294-2025</t>
        </is>
      </c>
      <c r="B5060" s="1" t="n">
        <v>45958.83685185185</v>
      </c>
      <c r="C5060" s="1" t="n">
        <v>45962</v>
      </c>
      <c r="D5060" t="inlineStr">
        <is>
          <t>SKÅNE LÄN</t>
        </is>
      </c>
      <c r="E5060" t="inlineStr">
        <is>
          <t>PERSTORP</t>
        </is>
      </c>
      <c r="F5060" t="inlineStr">
        <is>
          <t>Övriga Aktiebolag</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37161-2025</t>
        </is>
      </c>
      <c r="B5061" s="1" t="n">
        <v>45875</v>
      </c>
      <c r="C5061" s="1" t="n">
        <v>45962</v>
      </c>
      <c r="D5061" t="inlineStr">
        <is>
          <t>SKÅNE LÄN</t>
        </is>
      </c>
      <c r="E5061" t="inlineStr">
        <is>
          <t>KRISTIANSTAD</t>
        </is>
      </c>
      <c r="G5061" t="n">
        <v>1.5</v>
      </c>
      <c r="H5061" t="n">
        <v>0</v>
      </c>
      <c r="I5061" t="n">
        <v>0</v>
      </c>
      <c r="J5061" t="n">
        <v>0</v>
      </c>
      <c r="K5061" t="n">
        <v>0</v>
      </c>
      <c r="L5061" t="n">
        <v>0</v>
      </c>
      <c r="M5061" t="n">
        <v>0</v>
      </c>
      <c r="N5061" t="n">
        <v>0</v>
      </c>
      <c r="O5061" t="n">
        <v>0</v>
      </c>
      <c r="P5061" t="n">
        <v>0</v>
      </c>
      <c r="Q5061" t="n">
        <v>0</v>
      </c>
      <c r="R5061" s="2" t="inlineStr"/>
    </row>
    <row r="5062" ht="15" customHeight="1">
      <c r="A5062" t="inlineStr">
        <is>
          <t>A 49549-2025</t>
        </is>
      </c>
      <c r="B5062" s="1" t="n">
        <v>45939</v>
      </c>
      <c r="C5062" s="1" t="n">
        <v>45962</v>
      </c>
      <c r="D5062" t="inlineStr">
        <is>
          <t>SKÅNE LÄN</t>
        </is>
      </c>
      <c r="E5062" t="inlineStr">
        <is>
          <t>YSTAD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44371-2025</t>
        </is>
      </c>
      <c r="B5063" s="1" t="n">
        <v>45916.46348379629</v>
      </c>
      <c r="C5063" s="1" t="n">
        <v>45962</v>
      </c>
      <c r="D5063" t="inlineStr">
        <is>
          <t>SKÅNE LÄN</t>
        </is>
      </c>
      <c r="E5063" t="inlineStr">
        <is>
          <t>KRISTIANSTAD</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44386-2025</t>
        </is>
      </c>
      <c r="B5064" s="1" t="n">
        <v>45916.48872685185</v>
      </c>
      <c r="C5064" s="1" t="n">
        <v>45962</v>
      </c>
      <c r="D5064" t="inlineStr">
        <is>
          <t>SKÅNE LÄN</t>
        </is>
      </c>
      <c r="E5064" t="inlineStr">
        <is>
          <t>ÖRKELLJUNGA</t>
        </is>
      </c>
      <c r="G5064" t="n">
        <v>1.1</v>
      </c>
      <c r="H5064" t="n">
        <v>0</v>
      </c>
      <c r="I5064" t="n">
        <v>0</v>
      </c>
      <c r="J5064" t="n">
        <v>0</v>
      </c>
      <c r="K5064" t="n">
        <v>0</v>
      </c>
      <c r="L5064" t="n">
        <v>0</v>
      </c>
      <c r="M5064" t="n">
        <v>0</v>
      </c>
      <c r="N5064" t="n">
        <v>0</v>
      </c>
      <c r="O5064" t="n">
        <v>0</v>
      </c>
      <c r="P5064" t="n">
        <v>0</v>
      </c>
      <c r="Q5064" t="n">
        <v>0</v>
      </c>
      <c r="R5064" s="2" t="inlineStr"/>
    </row>
    <row r="5065" ht="15" customHeight="1">
      <c r="A5065" t="inlineStr">
        <is>
          <t>A 44376-2025</t>
        </is>
      </c>
      <c r="B5065" s="1" t="n">
        <v>45916.47453703704</v>
      </c>
      <c r="C5065" s="1" t="n">
        <v>45962</v>
      </c>
      <c r="D5065" t="inlineStr">
        <is>
          <t>SKÅNE LÄN</t>
        </is>
      </c>
      <c r="E5065" t="inlineStr">
        <is>
          <t>ÖRKELLJUNGA</t>
        </is>
      </c>
      <c r="G5065" t="n">
        <v>7.5</v>
      </c>
      <c r="H5065" t="n">
        <v>0</v>
      </c>
      <c r="I5065" t="n">
        <v>0</v>
      </c>
      <c r="J5065" t="n">
        <v>0</v>
      </c>
      <c r="K5065" t="n">
        <v>0</v>
      </c>
      <c r="L5065" t="n">
        <v>0</v>
      </c>
      <c r="M5065" t="n">
        <v>0</v>
      </c>
      <c r="N5065" t="n">
        <v>0</v>
      </c>
      <c r="O5065" t="n">
        <v>0</v>
      </c>
      <c r="P5065" t="n">
        <v>0</v>
      </c>
      <c r="Q5065" t="n">
        <v>0</v>
      </c>
      <c r="R5065" s="2" t="inlineStr"/>
    </row>
    <row r="5066" ht="15" customHeight="1">
      <c r="A5066" t="inlineStr">
        <is>
          <t>A 44614-2025</t>
        </is>
      </c>
      <c r="B5066" s="1" t="n">
        <v>45917.45422453704</v>
      </c>
      <c r="C5066" s="1" t="n">
        <v>45962</v>
      </c>
      <c r="D5066" t="inlineStr">
        <is>
          <t>SKÅNE LÄN</t>
        </is>
      </c>
      <c r="E5066" t="inlineStr">
        <is>
          <t>HÄSSLEHOLM</t>
        </is>
      </c>
      <c r="G5066" t="n">
        <v>5.4</v>
      </c>
      <c r="H5066" t="n">
        <v>0</v>
      </c>
      <c r="I5066" t="n">
        <v>0</v>
      </c>
      <c r="J5066" t="n">
        <v>0</v>
      </c>
      <c r="K5066" t="n">
        <v>0</v>
      </c>
      <c r="L5066" t="n">
        <v>0</v>
      </c>
      <c r="M5066" t="n">
        <v>0</v>
      </c>
      <c r="N5066" t="n">
        <v>0</v>
      </c>
      <c r="O5066" t="n">
        <v>0</v>
      </c>
      <c r="P5066" t="n">
        <v>0</v>
      </c>
      <c r="Q5066" t="n">
        <v>0</v>
      </c>
      <c r="R5066" s="2" t="inlineStr"/>
    </row>
    <row r="5067" ht="15" customHeight="1">
      <c r="A5067" t="inlineStr">
        <is>
          <t>A 53019-2025</t>
        </is>
      </c>
      <c r="B5067" s="1" t="n">
        <v>45957.90225694444</v>
      </c>
      <c r="C5067" s="1" t="n">
        <v>45962</v>
      </c>
      <c r="D5067" t="inlineStr">
        <is>
          <t>SKÅNE LÄN</t>
        </is>
      </c>
      <c r="E5067" t="inlineStr">
        <is>
          <t>ÖRKELLJUNGA</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53102-2025</t>
        </is>
      </c>
      <c r="B5068" s="1" t="n">
        <v>45958</v>
      </c>
      <c r="C5068" s="1" t="n">
        <v>45962</v>
      </c>
      <c r="D5068" t="inlineStr">
        <is>
          <t>SKÅNE LÄN</t>
        </is>
      </c>
      <c r="E5068" t="inlineStr">
        <is>
          <t>HÖRBY</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53179-2025</t>
        </is>
      </c>
      <c r="B5069" s="1" t="n">
        <v>45958.53815972222</v>
      </c>
      <c r="C5069" s="1" t="n">
        <v>45962</v>
      </c>
      <c r="D5069" t="inlineStr">
        <is>
          <t>SKÅNE LÄN</t>
        </is>
      </c>
      <c r="E5069" t="inlineStr">
        <is>
          <t>KRISTIANSTAD</t>
        </is>
      </c>
      <c r="G5069" t="n">
        <v>0.9</v>
      </c>
      <c r="H5069" t="n">
        <v>0</v>
      </c>
      <c r="I5069" t="n">
        <v>0</v>
      </c>
      <c r="J5069" t="n">
        <v>0</v>
      </c>
      <c r="K5069" t="n">
        <v>0</v>
      </c>
      <c r="L5069" t="n">
        <v>0</v>
      </c>
      <c r="M5069" t="n">
        <v>0</v>
      </c>
      <c r="N5069" t="n">
        <v>0</v>
      </c>
      <c r="O5069" t="n">
        <v>0</v>
      </c>
      <c r="P5069" t="n">
        <v>0</v>
      </c>
      <c r="Q5069" t="n">
        <v>0</v>
      </c>
      <c r="R5069" s="2" t="inlineStr"/>
    </row>
    <row r="5070" ht="15" customHeight="1">
      <c r="A5070" t="inlineStr">
        <is>
          <t>A 53525-2025</t>
        </is>
      </c>
      <c r="B5070" s="1" t="n">
        <v>45960.36130787037</v>
      </c>
      <c r="C5070" s="1" t="n">
        <v>45962</v>
      </c>
      <c r="D5070" t="inlineStr">
        <is>
          <t>SKÅNE LÄN</t>
        </is>
      </c>
      <c r="E5070" t="inlineStr">
        <is>
          <t>KRISTIANSTAD</t>
        </is>
      </c>
      <c r="F5070" t="inlineStr">
        <is>
          <t>Övriga Aktiebolag</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53424-2025</t>
        </is>
      </c>
      <c r="B5071" s="1" t="n">
        <v>45959</v>
      </c>
      <c r="C5071" s="1" t="n">
        <v>45962</v>
      </c>
      <c r="D5071" t="inlineStr">
        <is>
          <t>SKÅNE LÄN</t>
        </is>
      </c>
      <c r="E5071" t="inlineStr">
        <is>
          <t>HÄSSLEHOLM</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53617-2025</t>
        </is>
      </c>
      <c r="B5072" s="1" t="n">
        <v>45960</v>
      </c>
      <c r="C5072" s="1" t="n">
        <v>45962</v>
      </c>
      <c r="D5072" t="inlineStr">
        <is>
          <t>SKÅNE LÄN</t>
        </is>
      </c>
      <c r="E5072" t="inlineStr">
        <is>
          <t>ÖRKELLJUNGA</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45176-2025</t>
        </is>
      </c>
      <c r="B5073" s="1" t="n">
        <v>45919.52307870371</v>
      </c>
      <c r="C5073" s="1" t="n">
        <v>45962</v>
      </c>
      <c r="D5073" t="inlineStr">
        <is>
          <t>SKÅNE LÄN</t>
        </is>
      </c>
      <c r="E5073" t="inlineStr">
        <is>
          <t>HÄSSLEHOLM</t>
        </is>
      </c>
      <c r="G5073" t="n">
        <v>2.6</v>
      </c>
      <c r="H5073" t="n">
        <v>0</v>
      </c>
      <c r="I5073" t="n">
        <v>0</v>
      </c>
      <c r="J5073" t="n">
        <v>0</v>
      </c>
      <c r="K5073" t="n">
        <v>0</v>
      </c>
      <c r="L5073" t="n">
        <v>0</v>
      </c>
      <c r="M5073" t="n">
        <v>0</v>
      </c>
      <c r="N5073" t="n">
        <v>0</v>
      </c>
      <c r="O5073" t="n">
        <v>0</v>
      </c>
      <c r="P5073" t="n">
        <v>0</v>
      </c>
      <c r="Q5073" t="n">
        <v>0</v>
      </c>
      <c r="R5073" s="2" t="inlineStr"/>
    </row>
    <row r="5074" ht="15" customHeight="1">
      <c r="A5074" t="inlineStr">
        <is>
          <t>A 44971-2025</t>
        </is>
      </c>
      <c r="B5074" s="1" t="n">
        <v>45918.63648148148</v>
      </c>
      <c r="C5074" s="1" t="n">
        <v>45962</v>
      </c>
      <c r="D5074" t="inlineStr">
        <is>
          <t>SKÅNE LÄN</t>
        </is>
      </c>
      <c r="E5074" t="inlineStr">
        <is>
          <t>OSBY</t>
        </is>
      </c>
      <c r="G5074" t="n">
        <v>2.6</v>
      </c>
      <c r="H5074" t="n">
        <v>0</v>
      </c>
      <c r="I5074" t="n">
        <v>0</v>
      </c>
      <c r="J5074" t="n">
        <v>0</v>
      </c>
      <c r="K5074" t="n">
        <v>0</v>
      </c>
      <c r="L5074" t="n">
        <v>0</v>
      </c>
      <c r="M5074" t="n">
        <v>0</v>
      </c>
      <c r="N5074" t="n">
        <v>0</v>
      </c>
      <c r="O5074" t="n">
        <v>0</v>
      </c>
      <c r="P5074" t="n">
        <v>0</v>
      </c>
      <c r="Q5074" t="n">
        <v>0</v>
      </c>
      <c r="R5074" s="2" t="inlineStr"/>
    </row>
    <row r="5075" ht="15" customHeight="1">
      <c r="A5075" t="inlineStr">
        <is>
          <t>A 45241-2025</t>
        </is>
      </c>
      <c r="B5075" s="1" t="n">
        <v>45919.59726851852</v>
      </c>
      <c r="C5075" s="1" t="n">
        <v>45962</v>
      </c>
      <c r="D5075" t="inlineStr">
        <is>
          <t>SKÅNE LÄN</t>
        </is>
      </c>
      <c r="E5075" t="inlineStr">
        <is>
          <t>HÖÖR</t>
        </is>
      </c>
      <c r="G5075" t="n">
        <v>9.699999999999999</v>
      </c>
      <c r="H5075" t="n">
        <v>0</v>
      </c>
      <c r="I5075" t="n">
        <v>0</v>
      </c>
      <c r="J5075" t="n">
        <v>0</v>
      </c>
      <c r="K5075" t="n">
        <v>0</v>
      </c>
      <c r="L5075" t="n">
        <v>0</v>
      </c>
      <c r="M5075" t="n">
        <v>0</v>
      </c>
      <c r="N5075" t="n">
        <v>0</v>
      </c>
      <c r="O5075" t="n">
        <v>0</v>
      </c>
      <c r="P5075" t="n">
        <v>0</v>
      </c>
      <c r="Q5075" t="n">
        <v>0</v>
      </c>
      <c r="R5075" s="2" t="inlineStr"/>
    </row>
    <row r="5076" ht="15" customHeight="1">
      <c r="A5076" t="inlineStr">
        <is>
          <t>A 53676-2025</t>
        </is>
      </c>
      <c r="B5076" s="1" t="n">
        <v>45960</v>
      </c>
      <c r="C5076" s="1" t="n">
        <v>45962</v>
      </c>
      <c r="D5076" t="inlineStr">
        <is>
          <t>SKÅNE LÄN</t>
        </is>
      </c>
      <c r="E5076" t="inlineStr">
        <is>
          <t>ÖRKELLJUNGA</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45221-2025</t>
        </is>
      </c>
      <c r="B5077" s="1" t="n">
        <v>45919.57760416667</v>
      </c>
      <c r="C5077" s="1" t="n">
        <v>45962</v>
      </c>
      <c r="D5077" t="inlineStr">
        <is>
          <t>SKÅNE LÄN</t>
        </is>
      </c>
      <c r="E5077" t="inlineStr">
        <is>
          <t>HÄSSLEHOLM</t>
        </is>
      </c>
      <c r="G5077" t="n">
        <v>1.7</v>
      </c>
      <c r="H5077" t="n">
        <v>0</v>
      </c>
      <c r="I5077" t="n">
        <v>0</v>
      </c>
      <c r="J5077" t="n">
        <v>0</v>
      </c>
      <c r="K5077" t="n">
        <v>0</v>
      </c>
      <c r="L5077" t="n">
        <v>0</v>
      </c>
      <c r="M5077" t="n">
        <v>0</v>
      </c>
      <c r="N5077" t="n">
        <v>0</v>
      </c>
      <c r="O5077" t="n">
        <v>0</v>
      </c>
      <c r="P5077" t="n">
        <v>0</v>
      </c>
      <c r="Q5077" t="n">
        <v>0</v>
      </c>
      <c r="R5077" s="2" t="inlineStr"/>
    </row>
    <row r="5078" ht="15" customHeight="1">
      <c r="A5078" t="inlineStr">
        <is>
          <t>A 44851-2025</t>
        </is>
      </c>
      <c r="B5078" s="1" t="n">
        <v>45918.44603009259</v>
      </c>
      <c r="C5078" s="1" t="n">
        <v>45962</v>
      </c>
      <c r="D5078" t="inlineStr">
        <is>
          <t>SKÅNE LÄN</t>
        </is>
      </c>
      <c r="E5078" t="inlineStr">
        <is>
          <t>OSBY</t>
        </is>
      </c>
      <c r="G5078" t="n">
        <v>5.7</v>
      </c>
      <c r="H5078" t="n">
        <v>0</v>
      </c>
      <c r="I5078" t="n">
        <v>0</v>
      </c>
      <c r="J5078" t="n">
        <v>0</v>
      </c>
      <c r="K5078" t="n">
        <v>0</v>
      </c>
      <c r="L5078" t="n">
        <v>0</v>
      </c>
      <c r="M5078" t="n">
        <v>0</v>
      </c>
      <c r="N5078" t="n">
        <v>0</v>
      </c>
      <c r="O5078" t="n">
        <v>0</v>
      </c>
      <c r="P5078" t="n">
        <v>0</v>
      </c>
      <c r="Q5078" t="n">
        <v>0</v>
      </c>
      <c r="R5078" s="2" t="inlineStr"/>
    </row>
    <row r="5079" ht="15" customHeight="1">
      <c r="A5079" t="inlineStr">
        <is>
          <t>A 44864-2025</t>
        </is>
      </c>
      <c r="B5079" s="1" t="n">
        <v>45918</v>
      </c>
      <c r="C5079" s="1" t="n">
        <v>45962</v>
      </c>
      <c r="D5079" t="inlineStr">
        <is>
          <t>SKÅNE LÄN</t>
        </is>
      </c>
      <c r="E5079" t="inlineStr">
        <is>
          <t>ÖRKELLJUNGA</t>
        </is>
      </c>
      <c r="G5079" t="n">
        <v>4.1</v>
      </c>
      <c r="H5079" t="n">
        <v>0</v>
      </c>
      <c r="I5079" t="n">
        <v>0</v>
      </c>
      <c r="J5079" t="n">
        <v>0</v>
      </c>
      <c r="K5079" t="n">
        <v>0</v>
      </c>
      <c r="L5079" t="n">
        <v>0</v>
      </c>
      <c r="M5079" t="n">
        <v>0</v>
      </c>
      <c r="N5079" t="n">
        <v>0</v>
      </c>
      <c r="O5079" t="n">
        <v>0</v>
      </c>
      <c r="P5079" t="n">
        <v>0</v>
      </c>
      <c r="Q5079" t="n">
        <v>0</v>
      </c>
      <c r="R5079" s="2" t="inlineStr"/>
    </row>
    <row r="5080" ht="15" customHeight="1">
      <c r="A5080" t="inlineStr">
        <is>
          <t>A 53142-2025</t>
        </is>
      </c>
      <c r="B5080" s="1" t="n">
        <v>45958</v>
      </c>
      <c r="C5080" s="1" t="n">
        <v>45962</v>
      </c>
      <c r="D5080" t="inlineStr">
        <is>
          <t>SKÅNE LÄN</t>
        </is>
      </c>
      <c r="E5080" t="inlineStr">
        <is>
          <t>ÖRKELLJUNGA</t>
        </is>
      </c>
      <c r="G5080" t="n">
        <v>0.3</v>
      </c>
      <c r="H5080" t="n">
        <v>0</v>
      </c>
      <c r="I5080" t="n">
        <v>0</v>
      </c>
      <c r="J5080" t="n">
        <v>0</v>
      </c>
      <c r="K5080" t="n">
        <v>0</v>
      </c>
      <c r="L5080" t="n">
        <v>0</v>
      </c>
      <c r="M5080" t="n">
        <v>0</v>
      </c>
      <c r="N5080" t="n">
        <v>0</v>
      </c>
      <c r="O5080" t="n">
        <v>0</v>
      </c>
      <c r="P5080" t="n">
        <v>0</v>
      </c>
      <c r="Q5080" t="n">
        <v>0</v>
      </c>
      <c r="R5080" s="2" t="inlineStr"/>
    </row>
    <row r="5081" ht="15" customHeight="1">
      <c r="A5081" t="inlineStr">
        <is>
          <t>A 40463-2025</t>
        </is>
      </c>
      <c r="B5081" s="1" t="n">
        <v>45895</v>
      </c>
      <c r="C5081" s="1" t="n">
        <v>45962</v>
      </c>
      <c r="D5081" t="inlineStr">
        <is>
          <t>SKÅNE LÄN</t>
        </is>
      </c>
      <c r="E5081" t="inlineStr">
        <is>
          <t>SJÖBO</t>
        </is>
      </c>
      <c r="G5081" t="n">
        <v>7.2</v>
      </c>
      <c r="H5081" t="n">
        <v>0</v>
      </c>
      <c r="I5081" t="n">
        <v>0</v>
      </c>
      <c r="J5081" t="n">
        <v>0</v>
      </c>
      <c r="K5081" t="n">
        <v>0</v>
      </c>
      <c r="L5081" t="n">
        <v>0</v>
      </c>
      <c r="M5081" t="n">
        <v>0</v>
      </c>
      <c r="N5081" t="n">
        <v>0</v>
      </c>
      <c r="O5081" t="n">
        <v>0</v>
      </c>
      <c r="P5081" t="n">
        <v>0</v>
      </c>
      <c r="Q5081" t="n">
        <v>0</v>
      </c>
      <c r="R5081" s="2" t="inlineStr"/>
    </row>
    <row r="5082" ht="15" customHeight="1">
      <c r="A5082" t="inlineStr">
        <is>
          <t>A 53894-2025</t>
        </is>
      </c>
      <c r="B5082" s="1" t="n">
        <v>45961</v>
      </c>
      <c r="C5082" s="1" t="n">
        <v>45962</v>
      </c>
      <c r="D5082" t="inlineStr">
        <is>
          <t>SKÅNE LÄN</t>
        </is>
      </c>
      <c r="E5082" t="inlineStr">
        <is>
          <t>OSBY</t>
        </is>
      </c>
      <c r="G5082" t="n">
        <v>1.6</v>
      </c>
      <c r="H5082" t="n">
        <v>0</v>
      </c>
      <c r="I5082" t="n">
        <v>0</v>
      </c>
      <c r="J5082" t="n">
        <v>0</v>
      </c>
      <c r="K5082" t="n">
        <v>0</v>
      </c>
      <c r="L5082" t="n">
        <v>0</v>
      </c>
      <c r="M5082" t="n">
        <v>0</v>
      </c>
      <c r="N5082" t="n">
        <v>0</v>
      </c>
      <c r="O5082" t="n">
        <v>0</v>
      </c>
      <c r="P5082" t="n">
        <v>0</v>
      </c>
      <c r="Q5082" t="n">
        <v>0</v>
      </c>
      <c r="R5082" s="2" t="inlineStr"/>
    </row>
    <row r="5083" ht="15" customHeight="1">
      <c r="A5083" t="inlineStr">
        <is>
          <t>A 44903-2025</t>
        </is>
      </c>
      <c r="B5083" s="1" t="n">
        <v>45918.5110300926</v>
      </c>
      <c r="C5083" s="1" t="n">
        <v>45962</v>
      </c>
      <c r="D5083" t="inlineStr">
        <is>
          <t>SKÅNE LÄN</t>
        </is>
      </c>
      <c r="E5083" t="inlineStr">
        <is>
          <t>ÖRKELLJUNGA</t>
        </is>
      </c>
      <c r="G5083" t="n">
        <v>0.6</v>
      </c>
      <c r="H5083" t="n">
        <v>0</v>
      </c>
      <c r="I5083" t="n">
        <v>0</v>
      </c>
      <c r="J5083" t="n">
        <v>0</v>
      </c>
      <c r="K5083" t="n">
        <v>0</v>
      </c>
      <c r="L5083" t="n">
        <v>0</v>
      </c>
      <c r="M5083" t="n">
        <v>0</v>
      </c>
      <c r="N5083" t="n">
        <v>0</v>
      </c>
      <c r="O5083" t="n">
        <v>0</v>
      </c>
      <c r="P5083" t="n">
        <v>0</v>
      </c>
      <c r="Q5083" t="n">
        <v>0</v>
      </c>
      <c r="R5083" s="2" t="inlineStr"/>
    </row>
    <row r="5084" ht="15" customHeight="1">
      <c r="A5084" t="inlineStr">
        <is>
          <t>A 44793-2025</t>
        </is>
      </c>
      <c r="B5084" s="1" t="n">
        <v>45918.32309027778</v>
      </c>
      <c r="C5084" s="1" t="n">
        <v>45962</v>
      </c>
      <c r="D5084" t="inlineStr">
        <is>
          <t>SKÅNE LÄN</t>
        </is>
      </c>
      <c r="E5084" t="inlineStr">
        <is>
          <t>ÖRKELLJUNGA</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45273-2025</t>
        </is>
      </c>
      <c r="B5085" s="1" t="n">
        <v>45919.70486111111</v>
      </c>
      <c r="C5085" s="1" t="n">
        <v>45962</v>
      </c>
      <c r="D5085" t="inlineStr">
        <is>
          <t>SKÅNE LÄN</t>
        </is>
      </c>
      <c r="E5085" t="inlineStr">
        <is>
          <t>HÄSSLEHOLM</t>
        </is>
      </c>
      <c r="G5085" t="n">
        <v>4.4</v>
      </c>
      <c r="H5085" t="n">
        <v>0</v>
      </c>
      <c r="I5085" t="n">
        <v>0</v>
      </c>
      <c r="J5085" t="n">
        <v>0</v>
      </c>
      <c r="K5085" t="n">
        <v>0</v>
      </c>
      <c r="L5085" t="n">
        <v>0</v>
      </c>
      <c r="M5085" t="n">
        <v>0</v>
      </c>
      <c r="N5085" t="n">
        <v>0</v>
      </c>
      <c r="O5085" t="n">
        <v>0</v>
      </c>
      <c r="P5085" t="n">
        <v>0</v>
      </c>
      <c r="Q5085" t="n">
        <v>0</v>
      </c>
      <c r="R5085" s="2" t="inlineStr"/>
    </row>
    <row r="5086" ht="15" customHeight="1">
      <c r="A5086" t="inlineStr">
        <is>
          <t>A 45053-2025</t>
        </is>
      </c>
      <c r="B5086" s="1" t="n">
        <v>45919.31988425926</v>
      </c>
      <c r="C5086" s="1" t="n">
        <v>45962</v>
      </c>
      <c r="D5086" t="inlineStr">
        <is>
          <t>SKÅNE LÄN</t>
        </is>
      </c>
      <c r="E5086" t="inlineStr">
        <is>
          <t>OSBY</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45054-2025</t>
        </is>
      </c>
      <c r="B5087" s="1" t="n">
        <v>45919.32181712963</v>
      </c>
      <c r="C5087" s="1" t="n">
        <v>45962</v>
      </c>
      <c r="D5087" t="inlineStr">
        <is>
          <t>SKÅNE LÄN</t>
        </is>
      </c>
      <c r="E5087" t="inlineStr">
        <is>
          <t>OSBY</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45164-2025</t>
        </is>
      </c>
      <c r="B5088" s="1" t="n">
        <v>45919.49057870371</v>
      </c>
      <c r="C5088" s="1" t="n">
        <v>45962</v>
      </c>
      <c r="D5088" t="inlineStr">
        <is>
          <t>SKÅNE LÄN</t>
        </is>
      </c>
      <c r="E5088" t="inlineStr">
        <is>
          <t>HÖÖR</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45084-2025</t>
        </is>
      </c>
      <c r="B5089" s="1" t="n">
        <v>45918</v>
      </c>
      <c r="C5089" s="1" t="n">
        <v>45962</v>
      </c>
      <c r="D5089" t="inlineStr">
        <is>
          <t>SKÅNE LÄN</t>
        </is>
      </c>
      <c r="E5089" t="inlineStr">
        <is>
          <t>HÄSSLEHOLM</t>
        </is>
      </c>
      <c r="G5089" t="n">
        <v>1.4</v>
      </c>
      <c r="H5089" t="n">
        <v>0</v>
      </c>
      <c r="I5089" t="n">
        <v>0</v>
      </c>
      <c r="J5089" t="n">
        <v>0</v>
      </c>
      <c r="K5089" t="n">
        <v>0</v>
      </c>
      <c r="L5089" t="n">
        <v>0</v>
      </c>
      <c r="M5089" t="n">
        <v>0</v>
      </c>
      <c r="N5089" t="n">
        <v>0</v>
      </c>
      <c r="O5089" t="n">
        <v>0</v>
      </c>
      <c r="P5089" t="n">
        <v>0</v>
      </c>
      <c r="Q5089" t="n">
        <v>0</v>
      </c>
      <c r="R5089" s="2" t="inlineStr"/>
    </row>
    <row r="5090" ht="15" customHeight="1">
      <c r="A5090" t="inlineStr">
        <is>
          <t>A 45225-2025</t>
        </is>
      </c>
      <c r="B5090" s="1" t="n">
        <v>45919.58362268518</v>
      </c>
      <c r="C5090" s="1" t="n">
        <v>45962</v>
      </c>
      <c r="D5090" t="inlineStr">
        <is>
          <t>SKÅNE LÄN</t>
        </is>
      </c>
      <c r="E5090" t="inlineStr">
        <is>
          <t>OSBY</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44923-2025</t>
        </is>
      </c>
      <c r="B5091" s="1" t="n">
        <v>45918.55475694445</v>
      </c>
      <c r="C5091" s="1" t="n">
        <v>45962</v>
      </c>
      <c r="D5091" t="inlineStr">
        <is>
          <t>SKÅNE LÄN</t>
        </is>
      </c>
      <c r="E5091" t="inlineStr">
        <is>
          <t>ÖRKELLJUNGA</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44790-2025</t>
        </is>
      </c>
      <c r="B5092" s="1" t="n">
        <v>45918.30107638889</v>
      </c>
      <c r="C5092" s="1" t="n">
        <v>45962</v>
      </c>
      <c r="D5092" t="inlineStr">
        <is>
          <t>SKÅNE LÄN</t>
        </is>
      </c>
      <c r="E5092" t="inlineStr">
        <is>
          <t>ÖSTRA GÖINGE</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53615-2025</t>
        </is>
      </c>
      <c r="B5093" s="1" t="n">
        <v>45960</v>
      </c>
      <c r="C5093" s="1" t="n">
        <v>45962</v>
      </c>
      <c r="D5093" t="inlineStr">
        <is>
          <t>SKÅNE LÄN</t>
        </is>
      </c>
      <c r="E5093" t="inlineStr">
        <is>
          <t>ÖRKELLJUNGA</t>
        </is>
      </c>
      <c r="G5093" t="n">
        <v>3.3</v>
      </c>
      <c r="H5093" t="n">
        <v>0</v>
      </c>
      <c r="I5093" t="n">
        <v>0</v>
      </c>
      <c r="J5093" t="n">
        <v>0</v>
      </c>
      <c r="K5093" t="n">
        <v>0</v>
      </c>
      <c r="L5093" t="n">
        <v>0</v>
      </c>
      <c r="M5093" t="n">
        <v>0</v>
      </c>
      <c r="N5093" t="n">
        <v>0</v>
      </c>
      <c r="O5093" t="n">
        <v>0</v>
      </c>
      <c r="P5093" t="n">
        <v>0</v>
      </c>
      <c r="Q5093" t="n">
        <v>0</v>
      </c>
      <c r="R5093" s="2" t="inlineStr"/>
    </row>
    <row r="5094" ht="15" customHeight="1">
      <c r="A5094" t="inlineStr">
        <is>
          <t>A 43294-2025</t>
        </is>
      </c>
      <c r="B5094" s="1" t="n">
        <v>45910</v>
      </c>
      <c r="C5094" s="1" t="n">
        <v>45962</v>
      </c>
      <c r="D5094" t="inlineStr">
        <is>
          <t>SKÅNE LÄN</t>
        </is>
      </c>
      <c r="E5094" t="inlineStr">
        <is>
          <t>SVALÖV</t>
        </is>
      </c>
      <c r="G5094" t="n">
        <v>2.6</v>
      </c>
      <c r="H5094" t="n">
        <v>0</v>
      </c>
      <c r="I5094" t="n">
        <v>0</v>
      </c>
      <c r="J5094" t="n">
        <v>0</v>
      </c>
      <c r="K5094" t="n">
        <v>0</v>
      </c>
      <c r="L5094" t="n">
        <v>0</v>
      </c>
      <c r="M5094" t="n">
        <v>0</v>
      </c>
      <c r="N5094" t="n">
        <v>0</v>
      </c>
      <c r="O5094" t="n">
        <v>0</v>
      </c>
      <c r="P5094" t="n">
        <v>0</v>
      </c>
      <c r="Q5094" t="n">
        <v>0</v>
      </c>
      <c r="R5094" s="2" t="inlineStr"/>
    </row>
    <row r="5095" ht="15" customHeight="1">
      <c r="A5095" t="inlineStr">
        <is>
          <t>A 49913-2025</t>
        </is>
      </c>
      <c r="B5095" s="1" t="n">
        <v>45940</v>
      </c>
      <c r="C5095" s="1" t="n">
        <v>45962</v>
      </c>
      <c r="D5095" t="inlineStr">
        <is>
          <t>SKÅNE LÄN</t>
        </is>
      </c>
      <c r="E5095" t="inlineStr">
        <is>
          <t>TOMELILLA</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44897-2025</t>
        </is>
      </c>
      <c r="B5096" s="1" t="n">
        <v>45918.50546296296</v>
      </c>
      <c r="C5096" s="1" t="n">
        <v>45962</v>
      </c>
      <c r="D5096" t="inlineStr">
        <is>
          <t>SKÅNE LÄN</t>
        </is>
      </c>
      <c r="E5096" t="inlineStr">
        <is>
          <t>ÖRKELLJUNGA</t>
        </is>
      </c>
      <c r="G5096" t="n">
        <v>2.6</v>
      </c>
      <c r="H5096" t="n">
        <v>0</v>
      </c>
      <c r="I5096" t="n">
        <v>0</v>
      </c>
      <c r="J5096" t="n">
        <v>0</v>
      </c>
      <c r="K5096" t="n">
        <v>0</v>
      </c>
      <c r="L5096" t="n">
        <v>0</v>
      </c>
      <c r="M5096" t="n">
        <v>0</v>
      </c>
      <c r="N5096" t="n">
        <v>0</v>
      </c>
      <c r="O5096" t="n">
        <v>0</v>
      </c>
      <c r="P5096" t="n">
        <v>0</v>
      </c>
      <c r="Q5096" t="n">
        <v>0</v>
      </c>
      <c r="R5096" s="2" t="inlineStr"/>
    </row>
    <row r="5097" ht="15" customHeight="1">
      <c r="A5097" t="inlineStr">
        <is>
          <t>A 44925-2025</t>
        </is>
      </c>
      <c r="B5097" s="1" t="n">
        <v>45918.55711805556</v>
      </c>
      <c r="C5097" s="1" t="n">
        <v>45962</v>
      </c>
      <c r="D5097" t="inlineStr">
        <is>
          <t>SKÅNE LÄN</t>
        </is>
      </c>
      <c r="E5097" t="inlineStr">
        <is>
          <t>ÖRKELLJUNGA</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45096-2025</t>
        </is>
      </c>
      <c r="B5098" s="1" t="n">
        <v>45919.38780092593</v>
      </c>
      <c r="C5098" s="1" t="n">
        <v>45962</v>
      </c>
      <c r="D5098" t="inlineStr">
        <is>
          <t>SKÅNE LÄN</t>
        </is>
      </c>
      <c r="E5098" t="inlineStr">
        <is>
          <t>KLIPPAN</t>
        </is>
      </c>
      <c r="G5098" t="n">
        <v>2.8</v>
      </c>
      <c r="H5098" t="n">
        <v>0</v>
      </c>
      <c r="I5098" t="n">
        <v>0</v>
      </c>
      <c r="J5098" t="n">
        <v>0</v>
      </c>
      <c r="K5098" t="n">
        <v>0</v>
      </c>
      <c r="L5098" t="n">
        <v>0</v>
      </c>
      <c r="M5098" t="n">
        <v>0</v>
      </c>
      <c r="N5098" t="n">
        <v>0</v>
      </c>
      <c r="O5098" t="n">
        <v>0</v>
      </c>
      <c r="P5098" t="n">
        <v>0</v>
      </c>
      <c r="Q5098" t="n">
        <v>0</v>
      </c>
      <c r="R5098" s="2" t="inlineStr"/>
    </row>
    <row r="5099" ht="15" customHeight="1">
      <c r="A5099" t="inlineStr">
        <is>
          <t>A 44890-2025</t>
        </is>
      </c>
      <c r="B5099" s="1" t="n">
        <v>45918.49697916667</v>
      </c>
      <c r="C5099" s="1" t="n">
        <v>45962</v>
      </c>
      <c r="D5099" t="inlineStr">
        <is>
          <t>SKÅNE LÄN</t>
        </is>
      </c>
      <c r="E5099" t="inlineStr">
        <is>
          <t>ÖRKELLJUNGA</t>
        </is>
      </c>
      <c r="G5099" t="n">
        <v>4.7</v>
      </c>
      <c r="H5099" t="n">
        <v>0</v>
      </c>
      <c r="I5099" t="n">
        <v>0</v>
      </c>
      <c r="J5099" t="n">
        <v>0</v>
      </c>
      <c r="K5099" t="n">
        <v>0</v>
      </c>
      <c r="L5099" t="n">
        <v>0</v>
      </c>
      <c r="M5099" t="n">
        <v>0</v>
      </c>
      <c r="N5099" t="n">
        <v>0</v>
      </c>
      <c r="O5099" t="n">
        <v>0</v>
      </c>
      <c r="P5099" t="n">
        <v>0</v>
      </c>
      <c r="Q5099" t="n">
        <v>0</v>
      </c>
      <c r="R5099" s="2" t="inlineStr"/>
    </row>
    <row r="5100" ht="15" customHeight="1">
      <c r="A5100" t="inlineStr">
        <is>
          <t>A 53803-2025</t>
        </is>
      </c>
      <c r="B5100" s="1" t="n">
        <v>45960.82561342593</v>
      </c>
      <c r="C5100" s="1" t="n">
        <v>45962</v>
      </c>
      <c r="D5100" t="inlineStr">
        <is>
          <t>SKÅNE LÄN</t>
        </is>
      </c>
      <c r="E5100" t="inlineStr">
        <is>
          <t>KRISTIANSTAD</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53805-2025</t>
        </is>
      </c>
      <c r="B5101" s="1" t="n">
        <v>45960.83756944445</v>
      </c>
      <c r="C5101" s="1" t="n">
        <v>45962</v>
      </c>
      <c r="D5101" t="inlineStr">
        <is>
          <t>SKÅNE LÄN</t>
        </is>
      </c>
      <c r="E5101" t="inlineStr">
        <is>
          <t>KRISTIANSTAD</t>
        </is>
      </c>
      <c r="F5101" t="inlineStr">
        <is>
          <t>Sveaskog</t>
        </is>
      </c>
      <c r="G5101" t="n">
        <v>6</v>
      </c>
      <c r="H5101" t="n">
        <v>0</v>
      </c>
      <c r="I5101" t="n">
        <v>0</v>
      </c>
      <c r="J5101" t="n">
        <v>0</v>
      </c>
      <c r="K5101" t="n">
        <v>0</v>
      </c>
      <c r="L5101" t="n">
        <v>0</v>
      </c>
      <c r="M5101" t="n">
        <v>0</v>
      </c>
      <c r="N5101" t="n">
        <v>0</v>
      </c>
      <c r="O5101" t="n">
        <v>0</v>
      </c>
      <c r="P5101" t="n">
        <v>0</v>
      </c>
      <c r="Q5101" t="n">
        <v>0</v>
      </c>
      <c r="R5101" s="2" t="inlineStr"/>
    </row>
    <row r="5102" ht="15" customHeight="1">
      <c r="A5102" t="inlineStr">
        <is>
          <t>A 53614-2025</t>
        </is>
      </c>
      <c r="B5102" s="1" t="n">
        <v>45960</v>
      </c>
      <c r="C5102" s="1" t="n">
        <v>45962</v>
      </c>
      <c r="D5102" t="inlineStr">
        <is>
          <t>SKÅNE LÄN</t>
        </is>
      </c>
      <c r="E5102" t="inlineStr">
        <is>
          <t>KLIPPAN</t>
        </is>
      </c>
      <c r="G5102" t="n">
        <v>6.6</v>
      </c>
      <c r="H5102" t="n">
        <v>0</v>
      </c>
      <c r="I5102" t="n">
        <v>0</v>
      </c>
      <c r="J5102" t="n">
        <v>0</v>
      </c>
      <c r="K5102" t="n">
        <v>0</v>
      </c>
      <c r="L5102" t="n">
        <v>0</v>
      </c>
      <c r="M5102" t="n">
        <v>0</v>
      </c>
      <c r="N5102" t="n">
        <v>0</v>
      </c>
      <c r="O5102" t="n">
        <v>0</v>
      </c>
      <c r="P5102" t="n">
        <v>0</v>
      </c>
      <c r="Q5102" t="n">
        <v>0</v>
      </c>
      <c r="R5102" s="2" t="inlineStr"/>
    </row>
    <row r="5103" ht="15" customHeight="1">
      <c r="A5103" t="inlineStr">
        <is>
          <t>A 44789-2025</t>
        </is>
      </c>
      <c r="B5103" s="1" t="n">
        <v>45918.29686342592</v>
      </c>
      <c r="C5103" s="1" t="n">
        <v>45962</v>
      </c>
      <c r="D5103" t="inlineStr">
        <is>
          <t>SKÅNE LÄN</t>
        </is>
      </c>
      <c r="E5103" t="inlineStr">
        <is>
          <t>ÖSTRA GÖINGE</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44791-2025</t>
        </is>
      </c>
      <c r="B5104" s="1" t="n">
        <v>45918.31138888889</v>
      </c>
      <c r="C5104" s="1" t="n">
        <v>45962</v>
      </c>
      <c r="D5104" t="inlineStr">
        <is>
          <t>SKÅNE LÄN</t>
        </is>
      </c>
      <c r="E5104" t="inlineStr">
        <is>
          <t>ÖRKELLJUNGA</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44846-2025</t>
        </is>
      </c>
      <c r="B5105" s="1" t="n">
        <v>45918.43986111111</v>
      </c>
      <c r="C5105" s="1" t="n">
        <v>45962</v>
      </c>
      <c r="D5105" t="inlineStr">
        <is>
          <t>SKÅNE LÄN</t>
        </is>
      </c>
      <c r="E5105" t="inlineStr">
        <is>
          <t>ÖRKELLJUNGA</t>
        </is>
      </c>
      <c r="G5105" t="n">
        <v>3.4</v>
      </c>
      <c r="H5105" t="n">
        <v>0</v>
      </c>
      <c r="I5105" t="n">
        <v>0</v>
      </c>
      <c r="J5105" t="n">
        <v>0</v>
      </c>
      <c r="K5105" t="n">
        <v>0</v>
      </c>
      <c r="L5105" t="n">
        <v>0</v>
      </c>
      <c r="M5105" t="n">
        <v>0</v>
      </c>
      <c r="N5105" t="n">
        <v>0</v>
      </c>
      <c r="O5105" t="n">
        <v>0</v>
      </c>
      <c r="P5105" t="n">
        <v>0</v>
      </c>
      <c r="Q5105" t="n">
        <v>0</v>
      </c>
      <c r="R5105" s="2" t="inlineStr"/>
    </row>
    <row r="5106" ht="15" customHeight="1">
      <c r="A5106" t="inlineStr">
        <is>
          <t>A 44852-2025</t>
        </is>
      </c>
      <c r="B5106" s="1" t="n">
        <v>45918.44703703704</v>
      </c>
      <c r="C5106" s="1" t="n">
        <v>45962</v>
      </c>
      <c r="D5106" t="inlineStr">
        <is>
          <t>SKÅNE LÄN</t>
        </is>
      </c>
      <c r="E5106" t="inlineStr">
        <is>
          <t>ÖRKELLJUNGA</t>
        </is>
      </c>
      <c r="G5106" t="n">
        <v>2.1</v>
      </c>
      <c r="H5106" t="n">
        <v>0</v>
      </c>
      <c r="I5106" t="n">
        <v>0</v>
      </c>
      <c r="J5106" t="n">
        <v>0</v>
      </c>
      <c r="K5106" t="n">
        <v>0</v>
      </c>
      <c r="L5106" t="n">
        <v>0</v>
      </c>
      <c r="M5106" t="n">
        <v>0</v>
      </c>
      <c r="N5106" t="n">
        <v>0</v>
      </c>
      <c r="O5106" t="n">
        <v>0</v>
      </c>
      <c r="P5106" t="n">
        <v>0</v>
      </c>
      <c r="Q5106" t="n">
        <v>0</v>
      </c>
      <c r="R5106" s="2" t="inlineStr"/>
    </row>
    <row r="5107" ht="15" customHeight="1">
      <c r="A5107" t="inlineStr">
        <is>
          <t>A 11861-2025</t>
        </is>
      </c>
      <c r="B5107" s="1" t="n">
        <v>45728</v>
      </c>
      <c r="C5107" s="1" t="n">
        <v>45962</v>
      </c>
      <c r="D5107" t="inlineStr">
        <is>
          <t>SKÅNE LÄN</t>
        </is>
      </c>
      <c r="E5107" t="inlineStr">
        <is>
          <t>BROMÖLLA</t>
        </is>
      </c>
      <c r="G5107" t="n">
        <v>2.1</v>
      </c>
      <c r="H5107" t="n">
        <v>0</v>
      </c>
      <c r="I5107" t="n">
        <v>0</v>
      </c>
      <c r="J5107" t="n">
        <v>0</v>
      </c>
      <c r="K5107" t="n">
        <v>0</v>
      </c>
      <c r="L5107" t="n">
        <v>0</v>
      </c>
      <c r="M5107" t="n">
        <v>0</v>
      </c>
      <c r="N5107" t="n">
        <v>0</v>
      </c>
      <c r="O5107" t="n">
        <v>0</v>
      </c>
      <c r="P5107" t="n">
        <v>0</v>
      </c>
      <c r="Q5107" t="n">
        <v>0</v>
      </c>
      <c r="R5107" s="2" t="inlineStr"/>
    </row>
    <row r="5108" ht="15" customHeight="1">
      <c r="A5108" t="inlineStr">
        <is>
          <t>A 53807-2025</t>
        </is>
      </c>
      <c r="B5108" s="1" t="n">
        <v>45960.84490740741</v>
      </c>
      <c r="C5108" s="1" t="n">
        <v>45962</v>
      </c>
      <c r="D5108" t="inlineStr">
        <is>
          <t>SKÅNE LÄN</t>
        </is>
      </c>
      <c r="E5108" t="inlineStr">
        <is>
          <t>KRISTIANSTAD</t>
        </is>
      </c>
      <c r="F5108" t="inlineStr">
        <is>
          <t>Sveaskog</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45232-2025</t>
        </is>
      </c>
      <c r="B5109" s="1" t="n">
        <v>45919.59320601852</v>
      </c>
      <c r="C5109" s="1" t="n">
        <v>45962</v>
      </c>
      <c r="D5109" t="inlineStr">
        <is>
          <t>SKÅNE LÄN</t>
        </is>
      </c>
      <c r="E5109" t="inlineStr">
        <is>
          <t>OSBY</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61137-2024</t>
        </is>
      </c>
      <c r="B5110" s="1" t="n">
        <v>45645</v>
      </c>
      <c r="C5110" s="1" t="n">
        <v>45962</v>
      </c>
      <c r="D5110" t="inlineStr">
        <is>
          <t>SKÅNE LÄN</t>
        </is>
      </c>
      <c r="E5110" t="inlineStr">
        <is>
          <t>ÖSTRA GÖINGE</t>
        </is>
      </c>
      <c r="G5110" t="n">
        <v>2</v>
      </c>
      <c r="H5110" t="n">
        <v>0</v>
      </c>
      <c r="I5110" t="n">
        <v>0</v>
      </c>
      <c r="J5110" t="n">
        <v>0</v>
      </c>
      <c r="K5110" t="n">
        <v>0</v>
      </c>
      <c r="L5110" t="n">
        <v>0</v>
      </c>
      <c r="M5110" t="n">
        <v>0</v>
      </c>
      <c r="N5110" t="n">
        <v>0</v>
      </c>
      <c r="O5110" t="n">
        <v>0</v>
      </c>
      <c r="P5110" t="n">
        <v>0</v>
      </c>
      <c r="Q5110" t="n">
        <v>0</v>
      </c>
      <c r="R5110" s="2" t="inlineStr"/>
    </row>
    <row r="5111">
      <c r="A5111" t="inlineStr">
        <is>
          <t>A 53750-2025</t>
        </is>
      </c>
      <c r="B5111" s="1" t="n">
        <v>45960.65806712963</v>
      </c>
      <c r="C5111" s="1" t="n">
        <v>45962</v>
      </c>
      <c r="D5111" t="inlineStr">
        <is>
          <t>SKÅNE LÄN</t>
        </is>
      </c>
      <c r="E5111" t="inlineStr">
        <is>
          <t>KÄVLINGE</t>
        </is>
      </c>
      <c r="G5111" t="n">
        <v>0.9</v>
      </c>
      <c r="H5111" t="n">
        <v>0</v>
      </c>
      <c r="I5111" t="n">
        <v>0</v>
      </c>
      <c r="J5111" t="n">
        <v>0</v>
      </c>
      <c r="K5111" t="n">
        <v>0</v>
      </c>
      <c r="L5111" t="n">
        <v>0</v>
      </c>
      <c r="M5111" t="n">
        <v>0</v>
      </c>
      <c r="N5111" t="n">
        <v>0</v>
      </c>
      <c r="O5111" t="n">
        <v>0</v>
      </c>
      <c r="P5111" t="n">
        <v>0</v>
      </c>
      <c r="Q5111" t="n">
        <v>0</v>
      </c>
      <c r="R51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2025-11-01T10:03:23Z</dcterms:created>
  <dcterms:modified xmlns:dcterms="http://purl.org/dc/terms/" xmlns:xsi="http://www.w3.org/2001/XMLSchema-instance" xsi:type="dcterms:W3CDTF">2025-11-01T10:03:27Z</dcterms:modified>
</cp:coreProperties>
</file>