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45586</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45586</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45586</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45586</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45586</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39575-2024</t>
        </is>
      </c>
      <c r="B14" s="1" t="n">
        <v>45552</v>
      </c>
      <c r="C14" s="1" t="n">
        <v>45586</v>
      </c>
      <c r="D14" t="inlineStr">
        <is>
          <t>VÄSTRA GÖTALANDS LÄN</t>
        </is>
      </c>
      <c r="E14" t="inlineStr">
        <is>
          <t>ALE</t>
        </is>
      </c>
      <c r="G14" t="n">
        <v>10.3</v>
      </c>
      <c r="H14" t="n">
        <v>6</v>
      </c>
      <c r="I14" t="n">
        <v>9</v>
      </c>
      <c r="J14" t="n">
        <v>3</v>
      </c>
      <c r="K14" t="n">
        <v>2</v>
      </c>
      <c r="L14" t="n">
        <v>1</v>
      </c>
      <c r="M14" t="n">
        <v>0</v>
      </c>
      <c r="N14" t="n">
        <v>0</v>
      </c>
      <c r="O14" t="n">
        <v>6</v>
      </c>
      <c r="P14" t="n">
        <v>3</v>
      </c>
      <c r="Q14" t="n">
        <v>19</v>
      </c>
      <c r="R14" s="2" t="inlineStr">
        <is>
          <t>Ask
Brödtaggsvamp
Flikbålmossa
Motaggsvamp
Spillkråka
Talltita
Blåmossa
Dropptaggsvamp
Guldlockmossa
Platt fjädermossa
Skogshakmossa
Stor revmossa
Tibast
Trubbfjädermossa
Västlig hakmossa
Kungsfågel
Vanlig snok
Lopplummer
Revlummer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6469-2022</t>
        </is>
      </c>
      <c r="B15" s="1" t="n">
        <v>44601</v>
      </c>
      <c r="C15" s="1" t="n">
        <v>45586</v>
      </c>
      <c r="D15" t="inlineStr">
        <is>
          <t>VÄSTRA GÖTALANDS LÄN</t>
        </is>
      </c>
      <c r="E15" t="inlineStr">
        <is>
          <t>DALS-ED</t>
        </is>
      </c>
      <c r="G15" t="n">
        <v>5.6</v>
      </c>
      <c r="H15" t="n">
        <v>1</v>
      </c>
      <c r="I15" t="n">
        <v>7</v>
      </c>
      <c r="J15" t="n">
        <v>7</v>
      </c>
      <c r="K15" t="n">
        <v>2</v>
      </c>
      <c r="L15" t="n">
        <v>0</v>
      </c>
      <c r="M15" t="n">
        <v>1</v>
      </c>
      <c r="N15" t="n">
        <v>0</v>
      </c>
      <c r="O15" t="n">
        <v>10</v>
      </c>
      <c r="P15" t="n">
        <v>3</v>
      </c>
      <c r="Q15" t="n">
        <v>17</v>
      </c>
      <c r="R15" s="2" t="inlineStr">
        <is>
          <t>Liten kandelabersvamp
Gräddporing
Knärot
Dofttaggsvamp
Garnlav
Hornvaxskinn
Kådvaxskinn
Nordtagging
Orange taggsvamp
Vedtrappmossa
Blåmossa
Grönpyrola
Gullgröppa
Kattfotslav
Kornknutmossa
Stor revmossa
Vedticka</t>
        </is>
      </c>
      <c r="S15">
        <f>HYPERLINK("https://klasma.github.io/Logging_1438/artfynd/A 6469-2022 artfynd.xlsx", "A 6469-2022")</f>
        <v/>
      </c>
      <c r="T15">
        <f>HYPERLINK("https://klasma.github.io/Logging_1438/kartor/A 6469-2022 karta.png", "A 6469-2022")</f>
        <v/>
      </c>
      <c r="U15">
        <f>HYPERLINK("https://klasma.github.io/Logging_1438/knärot/A 6469-2022 karta knärot.png", "A 6469-2022")</f>
        <v/>
      </c>
      <c r="V15">
        <f>HYPERLINK("https://klasma.github.io/Logging_1438/klagomål/A 6469-2022 FSC-klagomål.docx", "A 6469-2022")</f>
        <v/>
      </c>
      <c r="W15">
        <f>HYPERLINK("https://klasma.github.io/Logging_1438/klagomålsmail/A 6469-2022 FSC-klagomål mail.docx", "A 6469-2022")</f>
        <v/>
      </c>
      <c r="X15">
        <f>HYPERLINK("https://klasma.github.io/Logging_1438/tillsyn/A 6469-2022 tillsynsbegäran.docx", "A 6469-2022")</f>
        <v/>
      </c>
      <c r="Y15">
        <f>HYPERLINK("https://klasma.github.io/Logging_1438/tillsynsmail/A 6469-2022 tillsynsbegäran mail.docx", "A 6469-2022")</f>
        <v/>
      </c>
    </row>
    <row r="16" ht="15" customHeight="1">
      <c r="A16" t="inlineStr">
        <is>
          <t>A 21058-2019</t>
        </is>
      </c>
      <c r="B16" s="1" t="n">
        <v>43573</v>
      </c>
      <c r="C16" s="1" t="n">
        <v>45586</v>
      </c>
      <c r="D16" t="inlineStr">
        <is>
          <t>VÄSTRA GÖTALANDS LÄN</t>
        </is>
      </c>
      <c r="E16" t="inlineStr">
        <is>
          <t>LILLA EDET</t>
        </is>
      </c>
      <c r="F16" t="inlineStr">
        <is>
          <t>Kyrkan</t>
        </is>
      </c>
      <c r="G16" t="n">
        <v>10.8</v>
      </c>
      <c r="H16" t="n">
        <v>1</v>
      </c>
      <c r="I16" t="n">
        <v>8</v>
      </c>
      <c r="J16" t="n">
        <v>2</v>
      </c>
      <c r="K16" t="n">
        <v>5</v>
      </c>
      <c r="L16" t="n">
        <v>0</v>
      </c>
      <c r="M16" t="n">
        <v>0</v>
      </c>
      <c r="N16" t="n">
        <v>0</v>
      </c>
      <c r="O16" t="n">
        <v>8</v>
      </c>
      <c r="P16" t="n">
        <v>5</v>
      </c>
      <c r="Q16" t="n">
        <v>16</v>
      </c>
      <c r="R16" s="2" t="inlineStr">
        <is>
          <t>Brandtaggsvamp
Brödtaggsvamp
Kejsarskivling
Koppartaggsvamp
Porslinsblå spindling
Dofttaggsvamp
Gul taggsvamp
Fruktkremla
Fjällig taggsvamp s.str.
Kryddspindling
Mandelriska
Myskmadra
Nästrot
Skarp dropptaggsvamp
Strimspindling
Svavelriska</t>
        </is>
      </c>
      <c r="S16">
        <f>HYPERLINK("https://klasma.github.io/Logging_1462/artfynd/A 21058-2019 artfynd.xlsx", "A 21058-2019")</f>
        <v/>
      </c>
      <c r="T16">
        <f>HYPERLINK("https://klasma.github.io/Logging_1462/kartor/A 21058-2019 karta.png", "A 21058-2019")</f>
        <v/>
      </c>
      <c r="V16">
        <f>HYPERLINK("https://klasma.github.io/Logging_1462/klagomål/A 21058-2019 FSC-klagomål.docx", "A 21058-2019")</f>
        <v/>
      </c>
      <c r="W16">
        <f>HYPERLINK("https://klasma.github.io/Logging_1462/klagomålsmail/A 21058-2019 FSC-klagomål mail.docx", "A 21058-2019")</f>
        <v/>
      </c>
      <c r="X16">
        <f>HYPERLINK("https://klasma.github.io/Logging_1462/tillsyn/A 21058-2019 tillsynsbegäran.docx", "A 21058-2019")</f>
        <v/>
      </c>
      <c r="Y16">
        <f>HYPERLINK("https://klasma.github.io/Logging_1462/tillsynsmail/A 21058-2019 tillsynsbegäran mail.docx", "A 21058-2019")</f>
        <v/>
      </c>
    </row>
    <row r="17" ht="15" customHeight="1">
      <c r="A17" t="inlineStr">
        <is>
          <t>A 42296-2019</t>
        </is>
      </c>
      <c r="B17" s="1" t="n">
        <v>43698</v>
      </c>
      <c r="C17" s="1" t="n">
        <v>45586</v>
      </c>
      <c r="D17" t="inlineStr">
        <is>
          <t>VÄSTRA GÖTALANDS LÄN</t>
        </is>
      </c>
      <c r="E17" t="inlineStr">
        <is>
          <t>TANUM</t>
        </is>
      </c>
      <c r="F17" t="inlineStr">
        <is>
          <t>Kyrkan</t>
        </is>
      </c>
      <c r="G17" t="n">
        <v>13.5</v>
      </c>
      <c r="H17" t="n">
        <v>5</v>
      </c>
      <c r="I17" t="n">
        <v>2</v>
      </c>
      <c r="J17" t="n">
        <v>13</v>
      </c>
      <c r="K17" t="n">
        <v>0</v>
      </c>
      <c r="L17" t="n">
        <v>0</v>
      </c>
      <c r="M17" t="n">
        <v>0</v>
      </c>
      <c r="N17" t="n">
        <v>0</v>
      </c>
      <c r="O17" t="n">
        <v>13</v>
      </c>
      <c r="P17" t="n">
        <v>0</v>
      </c>
      <c r="Q17" t="n">
        <v>16</v>
      </c>
      <c r="R17" s="2" t="inlineStr">
        <is>
          <t>Hapalopilus aurantiacus
Hornvaxskinn
Kådvaxskinn
Motaggsvamp
Nordtagging
Spillkråka
Stenfalk
Talltita
Tretåig hackspett
Vedflamlav
Vedskivlav
Violmussling
Vitplätt
Dropptaggsvamp
Skuggblåslav
Revlummer</t>
        </is>
      </c>
      <c r="S17">
        <f>HYPERLINK("https://klasma.github.io/Logging_1435/artfynd/A 42296-2019 artfynd.xlsx", "A 42296-2019")</f>
        <v/>
      </c>
      <c r="T17">
        <f>HYPERLINK("https://klasma.github.io/Logging_1435/kartor/A 42296-2019 karta.png", "A 42296-2019")</f>
        <v/>
      </c>
      <c r="V17">
        <f>HYPERLINK("https://klasma.github.io/Logging_1435/klagomål/A 42296-2019 FSC-klagomål.docx", "A 42296-2019")</f>
        <v/>
      </c>
      <c r="W17">
        <f>HYPERLINK("https://klasma.github.io/Logging_1435/klagomålsmail/A 42296-2019 FSC-klagomål mail.docx", "A 42296-2019")</f>
        <v/>
      </c>
      <c r="X17">
        <f>HYPERLINK("https://klasma.github.io/Logging_1435/tillsyn/A 42296-2019 tillsynsbegäran.docx", "A 42296-2019")</f>
        <v/>
      </c>
      <c r="Y17">
        <f>HYPERLINK("https://klasma.github.io/Logging_1435/tillsynsmail/A 42296-2019 tillsynsbegäran mail.docx", "A 42296-2019")</f>
        <v/>
      </c>
      <c r="Z17">
        <f>HYPERLINK("https://klasma.github.io/Logging_1435/fåglar/A 42296-2019 prioriterade fågelarter.docx", "A 42296-2019")</f>
        <v/>
      </c>
    </row>
    <row r="18" ht="15" customHeight="1">
      <c r="A18" t="inlineStr">
        <is>
          <t>A 33012-2024</t>
        </is>
      </c>
      <c r="B18" s="1" t="n">
        <v>45517</v>
      </c>
      <c r="C18" s="1" t="n">
        <v>45586</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47259-2020</t>
        </is>
      </c>
      <c r="B19" s="1" t="n">
        <v>44097</v>
      </c>
      <c r="C19" s="1" t="n">
        <v>45586</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 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34077-2023</t>
        </is>
      </c>
      <c r="B20" s="1" t="n">
        <v>45135</v>
      </c>
      <c r="C20" s="1" t="n">
        <v>45586</v>
      </c>
      <c r="D20" t="inlineStr">
        <is>
          <t>VÄSTRA GÖTALANDS LÄN</t>
        </is>
      </c>
      <c r="E20" t="inlineStr">
        <is>
          <t>STRÖMSTAD</t>
        </is>
      </c>
      <c r="G20" t="n">
        <v>25.3</v>
      </c>
      <c r="H20" t="n">
        <v>8</v>
      </c>
      <c r="I20" t="n">
        <v>1</v>
      </c>
      <c r="J20" t="n">
        <v>7</v>
      </c>
      <c r="K20" t="n">
        <v>1</v>
      </c>
      <c r="L20" t="n">
        <v>1</v>
      </c>
      <c r="M20" t="n">
        <v>1</v>
      </c>
      <c r="N20" t="n">
        <v>0</v>
      </c>
      <c r="O20" t="n">
        <v>10</v>
      </c>
      <c r="P20" t="n">
        <v>3</v>
      </c>
      <c r="Q20" t="n">
        <v>15</v>
      </c>
      <c r="R20" s="2" t="inlineStr">
        <is>
          <t>Skogsalm
Ask
Knärot
Desmeknopp
Månlåsbräken
Slåtterfibbla
Spillkråka
Talltita
Tretåig hackspett
Vårstarr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45586</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39577-2024</t>
        </is>
      </c>
      <c r="B22" s="1" t="n">
        <v>45552</v>
      </c>
      <c r="C22" s="1" t="n">
        <v>45586</v>
      </c>
      <c r="D22" t="inlineStr">
        <is>
          <t>VÄSTRA GÖTALANDS LÄN</t>
        </is>
      </c>
      <c r="E22" t="inlineStr">
        <is>
          <t>ALE</t>
        </is>
      </c>
      <c r="G22" t="n">
        <v>3.3</v>
      </c>
      <c r="H22" t="n">
        <v>5</v>
      </c>
      <c r="I22" t="n">
        <v>8</v>
      </c>
      <c r="J22" t="n">
        <v>3</v>
      </c>
      <c r="K22" t="n">
        <v>1</v>
      </c>
      <c r="L22" t="n">
        <v>0</v>
      </c>
      <c r="M22" t="n">
        <v>0</v>
      </c>
      <c r="N22" t="n">
        <v>0</v>
      </c>
      <c r="O22" t="n">
        <v>4</v>
      </c>
      <c r="P22" t="n">
        <v>1</v>
      </c>
      <c r="Q22" t="n">
        <v>15</v>
      </c>
      <c r="R22" s="2" t="inlineStr">
        <is>
          <t>Knärot
Bronssopp
Motaggsvamp
Spillkråka
Bronshjon
Kambräken
Klippfrullania
Rödfläckig zontaggsvamp
Rödgul trumpetsvamp
Smal svampklubba
Stor revmossa
Vågbandad barkbock
Åkergroda
Lopplummer
Revlummer</t>
        </is>
      </c>
      <c r="S22">
        <f>HYPERLINK("https://klasma.github.io/Logging_1440/artfynd/A 39577-2024 artfynd.xlsx", "A 39577-2024")</f>
        <v/>
      </c>
      <c r="T22">
        <f>HYPERLINK("https://klasma.github.io/Logging_1440/kartor/A 39577-2024 karta.png", "A 39577-2024")</f>
        <v/>
      </c>
      <c r="U22">
        <f>HYPERLINK("https://klasma.github.io/Logging_1440/knärot/A 39577-2024 karta knärot.png", "A 39577-2024")</f>
        <v/>
      </c>
      <c r="V22">
        <f>HYPERLINK("https://klasma.github.io/Logging_1440/klagomål/A 39577-2024 FSC-klagomål.docx", "A 39577-2024")</f>
        <v/>
      </c>
      <c r="W22">
        <f>HYPERLINK("https://klasma.github.io/Logging_1440/klagomålsmail/A 39577-2024 FSC-klagomål mail.docx", "A 39577-2024")</f>
        <v/>
      </c>
      <c r="X22">
        <f>HYPERLINK("https://klasma.github.io/Logging_1440/tillsyn/A 39577-2024 tillsynsbegäran.docx", "A 39577-2024")</f>
        <v/>
      </c>
      <c r="Y22">
        <f>HYPERLINK("https://klasma.github.io/Logging_1440/tillsynsmail/A 39577-2024 tillsynsbegäran mail.docx", "A 39577-2024")</f>
        <v/>
      </c>
      <c r="Z22">
        <f>HYPERLINK("https://klasma.github.io/Logging_1440/fåglar/A 39577-2024 prioriterade fågelarter.docx", "A 39577-2024")</f>
        <v/>
      </c>
    </row>
    <row r="23" ht="15" customHeight="1">
      <c r="A23" t="inlineStr">
        <is>
          <t>A 34258-2023</t>
        </is>
      </c>
      <c r="B23" s="1" t="n">
        <v>45138</v>
      </c>
      <c r="C23" s="1" t="n">
        <v>45586</v>
      </c>
      <c r="D23" t="inlineStr">
        <is>
          <t>VÄSTRA GÖTALANDS LÄN</t>
        </is>
      </c>
      <c r="E23" t="inlineStr">
        <is>
          <t>BENGTSFORS</t>
        </is>
      </c>
      <c r="G23" t="n">
        <v>9.800000000000001</v>
      </c>
      <c r="H23" t="n">
        <v>3</v>
      </c>
      <c r="I23" t="n">
        <v>7</v>
      </c>
      <c r="J23" t="n">
        <v>4</v>
      </c>
      <c r="K23" t="n">
        <v>1</v>
      </c>
      <c r="L23" t="n">
        <v>0</v>
      </c>
      <c r="M23" t="n">
        <v>0</v>
      </c>
      <c r="N23" t="n">
        <v>0</v>
      </c>
      <c r="O23" t="n">
        <v>5</v>
      </c>
      <c r="P23" t="n">
        <v>1</v>
      </c>
      <c r="Q23" t="n">
        <v>14</v>
      </c>
      <c r="R23" s="2" t="inlineStr">
        <is>
          <t>Liten hornflikmossa
Platt spretmossa
Stubbtrådmossa
Talltita
Vedtrappmossa
Blåmossa
Klippfrullania
Korallblylav
Stubbspretmossa
Trind spretmossa
Vanlig rörsvepemossa
Västlig hakmossa
Tjäder
Blåsippa</t>
        </is>
      </c>
      <c r="S23">
        <f>HYPERLINK("https://klasma.github.io/Logging_1460/artfynd/A 34258-2023 artfynd.xlsx", "A 34258-2023")</f>
        <v/>
      </c>
      <c r="T23">
        <f>HYPERLINK("https://klasma.github.io/Logging_1460/kartor/A 34258-2023 karta.png", "A 34258-2023")</f>
        <v/>
      </c>
      <c r="V23">
        <f>HYPERLINK("https://klasma.github.io/Logging_1460/klagomål/A 34258-2023 FSC-klagomål.docx", "A 34258-2023")</f>
        <v/>
      </c>
      <c r="W23">
        <f>HYPERLINK("https://klasma.github.io/Logging_1460/klagomålsmail/A 34258-2023 FSC-klagomål mail.docx", "A 34258-2023")</f>
        <v/>
      </c>
      <c r="X23">
        <f>HYPERLINK("https://klasma.github.io/Logging_1460/tillsyn/A 34258-2023 tillsynsbegäran.docx", "A 34258-2023")</f>
        <v/>
      </c>
      <c r="Y23">
        <f>HYPERLINK("https://klasma.github.io/Logging_1460/tillsynsmail/A 34258-2023 tillsynsbegäran mail.docx", "A 34258-2023")</f>
        <v/>
      </c>
      <c r="Z23">
        <f>HYPERLINK("https://klasma.github.io/Logging_1460/fåglar/A 34258-2023 prioriterade fågelarter.docx", "A 34258-2023")</f>
        <v/>
      </c>
    </row>
    <row r="24" ht="15" customHeight="1">
      <c r="A24" t="inlineStr">
        <is>
          <t>A 61182-2023</t>
        </is>
      </c>
      <c r="B24" s="1" t="n">
        <v>45263</v>
      </c>
      <c r="C24" s="1" t="n">
        <v>45586</v>
      </c>
      <c r="D24" t="inlineStr">
        <is>
          <t>VÄSTRA GÖTALANDS LÄN</t>
        </is>
      </c>
      <c r="E24" t="inlineStr">
        <is>
          <t>MELLERUD</t>
        </is>
      </c>
      <c r="G24" t="n">
        <v>15.7</v>
      </c>
      <c r="H24" t="n">
        <v>1</v>
      </c>
      <c r="I24" t="n">
        <v>9</v>
      </c>
      <c r="J24" t="n">
        <v>2</v>
      </c>
      <c r="K24" t="n">
        <v>1</v>
      </c>
      <c r="L24" t="n">
        <v>1</v>
      </c>
      <c r="M24" t="n">
        <v>0</v>
      </c>
      <c r="N24" t="n">
        <v>0</v>
      </c>
      <c r="O24" t="n">
        <v>4</v>
      </c>
      <c r="P24" t="n">
        <v>2</v>
      </c>
      <c r="Q24" t="n">
        <v>14</v>
      </c>
      <c r="R24" s="2" t="inlineStr">
        <is>
          <t>Blylav
Aspgelélav
Gransotdyna
Lunglav
Barkticka
Kattfotslav
Korallblylav
Platt fjädermossa
Rävticka
Stor aspticka
Stubbspretmossa
Vedticka
Vågbandad barkbock
Blåsippa</t>
        </is>
      </c>
      <c r="S24">
        <f>HYPERLINK("https://klasma.github.io/Logging_1461/artfynd/A 61182-2023 artfynd.xlsx", "A 61182-2023")</f>
        <v/>
      </c>
      <c r="T24">
        <f>HYPERLINK("https://klasma.github.io/Logging_1461/kartor/A 61182-2023 karta.png", "A 61182-2023")</f>
        <v/>
      </c>
      <c r="V24">
        <f>HYPERLINK("https://klasma.github.io/Logging_1461/klagomål/A 61182-2023 FSC-klagomål.docx", "A 61182-2023")</f>
        <v/>
      </c>
      <c r="W24">
        <f>HYPERLINK("https://klasma.github.io/Logging_1461/klagomålsmail/A 61182-2023 FSC-klagomål mail.docx", "A 61182-2023")</f>
        <v/>
      </c>
      <c r="X24">
        <f>HYPERLINK("https://klasma.github.io/Logging_1461/tillsyn/A 61182-2023 tillsynsbegäran.docx", "A 61182-2023")</f>
        <v/>
      </c>
      <c r="Y24">
        <f>HYPERLINK("https://klasma.github.io/Logging_1461/tillsynsmail/A 61182-2023 tillsynsbegäran mail.docx", "A 61182-2023")</f>
        <v/>
      </c>
    </row>
    <row r="25" ht="15" customHeight="1">
      <c r="A25" t="inlineStr">
        <is>
          <t>A 33970-2024</t>
        </is>
      </c>
      <c r="B25" s="1" t="n">
        <v>45523</v>
      </c>
      <c r="C25" s="1" t="n">
        <v>45586</v>
      </c>
      <c r="D25" t="inlineStr">
        <is>
          <t>VÄSTRA GÖTALANDS LÄN</t>
        </is>
      </c>
      <c r="E25" t="inlineStr">
        <is>
          <t>TRANEMO</t>
        </is>
      </c>
      <c r="F25" t="inlineStr">
        <is>
          <t>Sveaskog</t>
        </is>
      </c>
      <c r="G25" t="n">
        <v>5</v>
      </c>
      <c r="H25" t="n">
        <v>4</v>
      </c>
      <c r="I25" t="n">
        <v>4</v>
      </c>
      <c r="J25" t="n">
        <v>4</v>
      </c>
      <c r="K25" t="n">
        <v>2</v>
      </c>
      <c r="L25" t="n">
        <v>0</v>
      </c>
      <c r="M25" t="n">
        <v>1</v>
      </c>
      <c r="N25" t="n">
        <v>0</v>
      </c>
      <c r="O25" t="n">
        <v>7</v>
      </c>
      <c r="P25" t="n">
        <v>3</v>
      </c>
      <c r="Q25" t="n">
        <v>14</v>
      </c>
      <c r="R25" s="2" t="inlineStr">
        <is>
          <t>Skogsalm
Almlav
Slåttergubbe
Desmeknopp
Lunglav
Mindre hackspett
Stiftgelélav
Blodvaxskivling
Gul vaxskivling
Kransrams
Traslav
Pärluggla
Sparvuggla
Blåsippa</t>
        </is>
      </c>
      <c r="S25">
        <f>HYPERLINK("https://klasma.github.io/Logging_1452/artfynd/A 33970-2024 artfynd.xlsx", "A 33970-2024")</f>
        <v/>
      </c>
      <c r="T25">
        <f>HYPERLINK("https://klasma.github.io/Logging_1452/kartor/A 33970-2024 karta.png", "A 33970-2024")</f>
        <v/>
      </c>
      <c r="V25">
        <f>HYPERLINK("https://klasma.github.io/Logging_1452/klagomål/A 33970-2024 FSC-klagomål.docx", "A 33970-2024")</f>
        <v/>
      </c>
      <c r="W25">
        <f>HYPERLINK("https://klasma.github.io/Logging_1452/klagomålsmail/A 33970-2024 FSC-klagomål mail.docx", "A 33970-2024")</f>
        <v/>
      </c>
      <c r="X25">
        <f>HYPERLINK("https://klasma.github.io/Logging_1452/tillsyn/A 33970-2024 tillsynsbegäran.docx", "A 33970-2024")</f>
        <v/>
      </c>
      <c r="Y25">
        <f>HYPERLINK("https://klasma.github.io/Logging_1452/tillsynsmail/A 33970-2024 tillsynsbegäran mail.docx", "A 33970-2024")</f>
        <v/>
      </c>
      <c r="Z25">
        <f>HYPERLINK("https://klasma.github.io/Logging_1452/fåglar/A 33970-2024 prioriterade fågelarter.docx", "A 33970-2024")</f>
        <v/>
      </c>
    </row>
    <row r="26" ht="15" customHeight="1">
      <c r="A26" t="inlineStr">
        <is>
          <t>A 32279-2024</t>
        </is>
      </c>
      <c r="B26" s="1" t="n">
        <v>45512</v>
      </c>
      <c r="C26" s="1" t="n">
        <v>45586</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45586</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45586</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45586</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45586</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45586</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45586</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45586</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45586</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45586</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45586</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45586</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45586</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45586</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45586</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45586</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45586</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45586</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45586</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45586</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45586</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45586</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67271-2020</t>
        </is>
      </c>
      <c r="B48" s="1" t="n">
        <v>44181</v>
      </c>
      <c r="C48" s="1" t="n">
        <v>45586</v>
      </c>
      <c r="D48" t="inlineStr">
        <is>
          <t>VÄSTRA GÖTALANDS LÄN</t>
        </is>
      </c>
      <c r="E48" t="inlineStr">
        <is>
          <t>BORÅS</t>
        </is>
      </c>
      <c r="G48" t="n">
        <v>2.8</v>
      </c>
      <c r="H48" t="n">
        <v>9</v>
      </c>
      <c r="I48" t="n">
        <v>0</v>
      </c>
      <c r="J48" t="n">
        <v>5</v>
      </c>
      <c r="K48" t="n">
        <v>1</v>
      </c>
      <c r="L48" t="n">
        <v>0</v>
      </c>
      <c r="M48" t="n">
        <v>0</v>
      </c>
      <c r="N48" t="n">
        <v>0</v>
      </c>
      <c r="O48" t="n">
        <v>6</v>
      </c>
      <c r="P48" t="n">
        <v>1</v>
      </c>
      <c r="Q48" t="n">
        <v>9</v>
      </c>
      <c r="R48" s="2" t="inlineStr">
        <is>
          <t>Stare
Björktrast
Havsörn
Kråka
Rödvingetrast
Spillkråka
Grönsiska
Sångsvan
Tjäder</t>
        </is>
      </c>
      <c r="S48">
        <f>HYPERLINK("https://klasma.github.io/Logging_1490/artfynd/A 67271-2020 artfynd.xlsx", "A 67271-2020")</f>
        <v/>
      </c>
      <c r="T48">
        <f>HYPERLINK("https://klasma.github.io/Logging_1490/kartor/A 67271-2020 karta.png", "A 67271-2020")</f>
        <v/>
      </c>
      <c r="V48">
        <f>HYPERLINK("https://klasma.github.io/Logging_1490/klagomål/A 67271-2020 FSC-klagomål.docx", "A 67271-2020")</f>
        <v/>
      </c>
      <c r="W48">
        <f>HYPERLINK("https://klasma.github.io/Logging_1490/klagomålsmail/A 67271-2020 FSC-klagomål mail.docx", "A 67271-2020")</f>
        <v/>
      </c>
      <c r="X48">
        <f>HYPERLINK("https://klasma.github.io/Logging_1490/tillsyn/A 67271-2020 tillsynsbegäran.docx", "A 67271-2020")</f>
        <v/>
      </c>
      <c r="Y48">
        <f>HYPERLINK("https://klasma.github.io/Logging_1490/tillsynsmail/A 67271-2020 tillsynsbegäran mail.docx", "A 67271-2020")</f>
        <v/>
      </c>
      <c r="Z48">
        <f>HYPERLINK("https://klasma.github.io/Logging_1490/fåglar/A 67271-2020 prioriterade fågelarter.docx", "A 67271-2020")</f>
        <v/>
      </c>
    </row>
    <row r="49" ht="15" customHeight="1">
      <c r="A49" t="inlineStr">
        <is>
          <t>A 12027-2022</t>
        </is>
      </c>
      <c r="B49" s="1" t="n">
        <v>44635</v>
      </c>
      <c r="C49" s="1" t="n">
        <v>45586</v>
      </c>
      <c r="D49" t="inlineStr">
        <is>
          <t>VÄSTRA GÖTALANDS LÄN</t>
        </is>
      </c>
      <c r="E49" t="inlineStr">
        <is>
          <t>SKÖVDE</t>
        </is>
      </c>
      <c r="G49" t="n">
        <v>8.199999999999999</v>
      </c>
      <c r="H49" t="n">
        <v>4</v>
      </c>
      <c r="I49" t="n">
        <v>5</v>
      </c>
      <c r="J49" t="n">
        <v>0</v>
      </c>
      <c r="K49" t="n">
        <v>1</v>
      </c>
      <c r="L49" t="n">
        <v>0</v>
      </c>
      <c r="M49" t="n">
        <v>1</v>
      </c>
      <c r="N49" t="n">
        <v>0</v>
      </c>
      <c r="O49" t="n">
        <v>2</v>
      </c>
      <c r="P49" t="n">
        <v>2</v>
      </c>
      <c r="Q49" t="n">
        <v>9</v>
      </c>
      <c r="R49" s="2" t="inlineStr">
        <is>
          <t>Skogsalm
Knärot
Blomkålssvamp
Grovticka
Nästrot
Rutbläcksvamp
Smal svampklubba
Vanlig groda
Vanlig padda</t>
        </is>
      </c>
      <c r="S49">
        <f>HYPERLINK("https://klasma.github.io/Logging_1496/artfynd/A 12027-2022 artfynd.xlsx", "A 12027-2022")</f>
        <v/>
      </c>
      <c r="T49">
        <f>HYPERLINK("https://klasma.github.io/Logging_1496/kartor/A 12027-2022 karta.png", "A 12027-2022")</f>
        <v/>
      </c>
      <c r="U49">
        <f>HYPERLINK("https://klasma.github.io/Logging_1496/knärot/A 12027-2022 karta knärot.png", "A 12027-2022")</f>
        <v/>
      </c>
      <c r="V49">
        <f>HYPERLINK("https://klasma.github.io/Logging_1496/klagomål/A 12027-2022 FSC-klagomål.docx", "A 12027-2022")</f>
        <v/>
      </c>
      <c r="W49">
        <f>HYPERLINK("https://klasma.github.io/Logging_1496/klagomålsmail/A 12027-2022 FSC-klagomål mail.docx", "A 12027-2022")</f>
        <v/>
      </c>
      <c r="X49">
        <f>HYPERLINK("https://klasma.github.io/Logging_1496/tillsyn/A 12027-2022 tillsynsbegäran.docx", "A 12027-2022")</f>
        <v/>
      </c>
      <c r="Y49">
        <f>HYPERLINK("https://klasma.github.io/Logging_1496/tillsynsmail/A 12027-2022 tillsynsbegäran mail.docx", "A 12027-2022")</f>
        <v/>
      </c>
    </row>
    <row r="50" ht="15" customHeight="1">
      <c r="A50" t="inlineStr">
        <is>
          <t>A 28018-2023</t>
        </is>
      </c>
      <c r="B50" s="1" t="n">
        <v>45098</v>
      </c>
      <c r="C50" s="1" t="n">
        <v>45586</v>
      </c>
      <c r="D50" t="inlineStr">
        <is>
          <t>VÄSTRA GÖTALANDS LÄN</t>
        </is>
      </c>
      <c r="E50" t="inlineStr">
        <is>
          <t>LILLA EDET</t>
        </is>
      </c>
      <c r="G50" t="n">
        <v>47.9</v>
      </c>
      <c r="H50" t="n">
        <v>4</v>
      </c>
      <c r="I50" t="n">
        <v>4</v>
      </c>
      <c r="J50" t="n">
        <v>3</v>
      </c>
      <c r="K50" t="n">
        <v>0</v>
      </c>
      <c r="L50" t="n">
        <v>0</v>
      </c>
      <c r="M50" t="n">
        <v>0</v>
      </c>
      <c r="N50" t="n">
        <v>0</v>
      </c>
      <c r="O50" t="n">
        <v>3</v>
      </c>
      <c r="P50" t="n">
        <v>0</v>
      </c>
      <c r="Q50" t="n">
        <v>9</v>
      </c>
      <c r="R50" s="2" t="inlineStr">
        <is>
          <t>Dofttaggsvamp
Spillkråka
Talltita
Blåmossa
Klippfrullania
Stor revmossa
Västlig hakmossa
Mattlummer
Revlummer</t>
        </is>
      </c>
      <c r="S50">
        <f>HYPERLINK("https://klasma.github.io/Logging_1462/artfynd/A 28018-2023 artfynd.xlsx", "A 28018-2023")</f>
        <v/>
      </c>
      <c r="T50">
        <f>HYPERLINK("https://klasma.github.io/Logging_1462/kartor/A 28018-2023 karta.png", "A 28018-2023")</f>
        <v/>
      </c>
      <c r="V50">
        <f>HYPERLINK("https://klasma.github.io/Logging_1462/klagomål/A 28018-2023 FSC-klagomål.docx", "A 28018-2023")</f>
        <v/>
      </c>
      <c r="W50">
        <f>HYPERLINK("https://klasma.github.io/Logging_1462/klagomålsmail/A 28018-2023 FSC-klagomål mail.docx", "A 28018-2023")</f>
        <v/>
      </c>
      <c r="X50">
        <f>HYPERLINK("https://klasma.github.io/Logging_1462/tillsyn/A 28018-2023 tillsynsbegäran.docx", "A 28018-2023")</f>
        <v/>
      </c>
      <c r="Y50">
        <f>HYPERLINK("https://klasma.github.io/Logging_1462/tillsynsmail/A 28018-2023 tillsynsbegäran mail.docx", "A 28018-2023")</f>
        <v/>
      </c>
      <c r="Z50">
        <f>HYPERLINK("https://klasma.github.io/Logging_1462/fåglar/A 28018-2023 prioriterade fågelarter.docx", "A 28018-2023")</f>
        <v/>
      </c>
    </row>
    <row r="51" ht="15" customHeight="1">
      <c r="A51" t="inlineStr">
        <is>
          <t>A 36325-2023</t>
        </is>
      </c>
      <c r="B51" s="1" t="n">
        <v>45152</v>
      </c>
      <c r="C51" s="1" t="n">
        <v>45586</v>
      </c>
      <c r="D51" t="inlineStr">
        <is>
          <t>VÄSTRA GÖTALANDS LÄN</t>
        </is>
      </c>
      <c r="E51" t="inlineStr">
        <is>
          <t>ALE</t>
        </is>
      </c>
      <c r="G51" t="n">
        <v>9.4</v>
      </c>
      <c r="H51" t="n">
        <v>2</v>
      </c>
      <c r="I51" t="n">
        <v>7</v>
      </c>
      <c r="J51" t="n">
        <v>1</v>
      </c>
      <c r="K51" t="n">
        <v>0</v>
      </c>
      <c r="L51" t="n">
        <v>0</v>
      </c>
      <c r="M51" t="n">
        <v>0</v>
      </c>
      <c r="N51" t="n">
        <v>0</v>
      </c>
      <c r="O51" t="n">
        <v>1</v>
      </c>
      <c r="P51" t="n">
        <v>0</v>
      </c>
      <c r="Q51" t="n">
        <v>9</v>
      </c>
      <c r="R51" s="2" t="inlineStr">
        <is>
          <t>Spillkråka
Blomkålssvamp
Blåmossa
Klippfrullania
Kornknutmossa
Sotriska
Stor revmossa
Västlig hakmossa
Vanlig groda</t>
        </is>
      </c>
      <c r="S51">
        <f>HYPERLINK("https://klasma.github.io/Logging_1440/artfynd/A 36325-2023 artfynd.xlsx", "A 36325-2023")</f>
        <v/>
      </c>
      <c r="T51">
        <f>HYPERLINK("https://klasma.github.io/Logging_1440/kartor/A 36325-2023 karta.png", "A 36325-2023")</f>
        <v/>
      </c>
      <c r="V51">
        <f>HYPERLINK("https://klasma.github.io/Logging_1440/klagomål/A 36325-2023 FSC-klagomål.docx", "A 36325-2023")</f>
        <v/>
      </c>
      <c r="W51">
        <f>HYPERLINK("https://klasma.github.io/Logging_1440/klagomålsmail/A 36325-2023 FSC-klagomål mail.docx", "A 36325-2023")</f>
        <v/>
      </c>
      <c r="X51">
        <f>HYPERLINK("https://klasma.github.io/Logging_1440/tillsyn/A 36325-2023 tillsynsbegäran.docx", "A 36325-2023")</f>
        <v/>
      </c>
      <c r="Y51">
        <f>HYPERLINK("https://klasma.github.io/Logging_1440/tillsynsmail/A 36325-2023 tillsynsbegäran mail.docx", "A 36325-2023")</f>
        <v/>
      </c>
      <c r="Z51">
        <f>HYPERLINK("https://klasma.github.io/Logging_1440/fåglar/A 36325-2023 prioriterade fågelarter.docx", "A 36325-2023")</f>
        <v/>
      </c>
    </row>
    <row r="52" ht="15" customHeight="1">
      <c r="A52" t="inlineStr">
        <is>
          <t>A 37370-2023</t>
        </is>
      </c>
      <c r="B52" s="1" t="n">
        <v>45156</v>
      </c>
      <c r="C52" s="1" t="n">
        <v>45586</v>
      </c>
      <c r="D52" t="inlineStr">
        <is>
          <t>VÄSTRA GÖTALANDS LÄN</t>
        </is>
      </c>
      <c r="E52" t="inlineStr">
        <is>
          <t>TANUM</t>
        </is>
      </c>
      <c r="G52" t="n">
        <v>14.5</v>
      </c>
      <c r="H52" t="n">
        <v>3</v>
      </c>
      <c r="I52" t="n">
        <v>0</v>
      </c>
      <c r="J52" t="n">
        <v>4</v>
      </c>
      <c r="K52" t="n">
        <v>1</v>
      </c>
      <c r="L52" t="n">
        <v>2</v>
      </c>
      <c r="M52" t="n">
        <v>0</v>
      </c>
      <c r="N52" t="n">
        <v>0</v>
      </c>
      <c r="O52" t="n">
        <v>7</v>
      </c>
      <c r="P52" t="n">
        <v>3</v>
      </c>
      <c r="Q52" t="n">
        <v>9</v>
      </c>
      <c r="R52" s="2" t="inlineStr">
        <is>
          <t>Bredgentiana
Råglosta
Slåttergubbe
Granspira
Slåtterfibbla
Svinrot
Vårstarr
Fläcknycklar
Lopplummer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44362-2023</t>
        </is>
      </c>
      <c r="B53" s="1" t="n">
        <v>45188</v>
      </c>
      <c r="C53" s="1" t="n">
        <v>45586</v>
      </c>
      <c r="D53" t="inlineStr">
        <is>
          <t>VÄSTRA GÖTALANDS LÄN</t>
        </is>
      </c>
      <c r="E53" t="inlineStr">
        <is>
          <t>DALS-ED</t>
        </is>
      </c>
      <c r="G53" t="n">
        <v>21.3</v>
      </c>
      <c r="H53" t="n">
        <v>6</v>
      </c>
      <c r="I53" t="n">
        <v>3</v>
      </c>
      <c r="J53" t="n">
        <v>3</v>
      </c>
      <c r="K53" t="n">
        <v>0</v>
      </c>
      <c r="L53" t="n">
        <v>0</v>
      </c>
      <c r="M53" t="n">
        <v>0</v>
      </c>
      <c r="N53" t="n">
        <v>0</v>
      </c>
      <c r="O53" t="n">
        <v>3</v>
      </c>
      <c r="P53" t="n">
        <v>0</v>
      </c>
      <c r="Q53" t="n">
        <v>9</v>
      </c>
      <c r="R53" s="2" t="inlineStr">
        <is>
          <t>Mindre hackspett
Spillkråka
Tretåig hackspett
Blåmossa
Stor revmossa
Västlig hakmossa
Tjäder
Lopplummer
Revlummer</t>
        </is>
      </c>
      <c r="S53">
        <f>HYPERLINK("https://klasma.github.io/Logging_1438/artfynd/A 44362-2023 artfynd.xlsx", "A 44362-2023")</f>
        <v/>
      </c>
      <c r="T53">
        <f>HYPERLINK("https://klasma.github.io/Logging_1438/kartor/A 44362-2023 karta.png", "A 44362-2023")</f>
        <v/>
      </c>
      <c r="V53">
        <f>HYPERLINK("https://klasma.github.io/Logging_1438/klagomål/A 44362-2023 FSC-klagomål.docx", "A 44362-2023")</f>
        <v/>
      </c>
      <c r="W53">
        <f>HYPERLINK("https://klasma.github.io/Logging_1438/klagomålsmail/A 44362-2023 FSC-klagomål mail.docx", "A 44362-2023")</f>
        <v/>
      </c>
      <c r="X53">
        <f>HYPERLINK("https://klasma.github.io/Logging_1438/tillsyn/A 44362-2023 tillsynsbegäran.docx", "A 44362-2023")</f>
        <v/>
      </c>
      <c r="Y53">
        <f>HYPERLINK("https://klasma.github.io/Logging_1438/tillsynsmail/A 44362-2023 tillsynsbegäran mail.docx", "A 44362-2023")</f>
        <v/>
      </c>
      <c r="Z53">
        <f>HYPERLINK("https://klasma.github.io/Logging_1438/fåglar/A 44362-2023 prioriterade fågelarter.docx", "A 44362-2023")</f>
        <v/>
      </c>
    </row>
    <row r="54" ht="15" customHeight="1">
      <c r="A54" t="inlineStr">
        <is>
          <t>A 315-2024</t>
        </is>
      </c>
      <c r="B54" s="1" t="n">
        <v>45295</v>
      </c>
      <c r="C54" s="1" t="n">
        <v>45586</v>
      </c>
      <c r="D54" t="inlineStr">
        <is>
          <t>VÄSTRA GÖTALANDS LÄN</t>
        </is>
      </c>
      <c r="E54" t="inlineStr">
        <is>
          <t>LILLA EDET</t>
        </is>
      </c>
      <c r="F54" t="inlineStr">
        <is>
          <t>Kyrkan</t>
        </is>
      </c>
      <c r="G54" t="n">
        <v>16</v>
      </c>
      <c r="H54" t="n">
        <v>3</v>
      </c>
      <c r="I54" t="n">
        <v>6</v>
      </c>
      <c r="J54" t="n">
        <v>1</v>
      </c>
      <c r="K54" t="n">
        <v>0</v>
      </c>
      <c r="L54" t="n">
        <v>0</v>
      </c>
      <c r="M54" t="n">
        <v>0</v>
      </c>
      <c r="N54" t="n">
        <v>0</v>
      </c>
      <c r="O54" t="n">
        <v>1</v>
      </c>
      <c r="P54" t="n">
        <v>0</v>
      </c>
      <c r="Q54" t="n">
        <v>9</v>
      </c>
      <c r="R54" s="2" t="inlineStr">
        <is>
          <t>Spillkråka
Fällmossa
Havstulpanlav
Kambräken
Klippfrullania
Stor revmossa
Västlig hakmossa
Tjäder
Revlummer</t>
        </is>
      </c>
      <c r="S54">
        <f>HYPERLINK("https://klasma.github.io/Logging_1462/artfynd/A 315-2024 artfynd.xlsx", "A 315-2024")</f>
        <v/>
      </c>
      <c r="T54">
        <f>HYPERLINK("https://klasma.github.io/Logging_1462/kartor/A 315-2024 karta.png", "A 315-2024")</f>
        <v/>
      </c>
      <c r="V54">
        <f>HYPERLINK("https://klasma.github.io/Logging_1462/klagomål/A 315-2024 FSC-klagomål.docx", "A 315-2024")</f>
        <v/>
      </c>
      <c r="W54">
        <f>HYPERLINK("https://klasma.github.io/Logging_1462/klagomålsmail/A 315-2024 FSC-klagomål mail.docx", "A 315-2024")</f>
        <v/>
      </c>
      <c r="X54">
        <f>HYPERLINK("https://klasma.github.io/Logging_1462/tillsyn/A 315-2024 tillsynsbegäran.docx", "A 315-2024")</f>
        <v/>
      </c>
      <c r="Y54">
        <f>HYPERLINK("https://klasma.github.io/Logging_1462/tillsynsmail/A 315-2024 tillsynsbegäran mail.docx", "A 315-2024")</f>
        <v/>
      </c>
      <c r="Z54">
        <f>HYPERLINK("https://klasma.github.io/Logging_1462/fåglar/A 315-2024 prioriterade fågelarter.docx", "A 315-2024")</f>
        <v/>
      </c>
    </row>
    <row r="55" ht="15" customHeight="1">
      <c r="A55" t="inlineStr">
        <is>
          <t>A 39593-2024</t>
        </is>
      </c>
      <c r="B55" s="1" t="n">
        <v>45552</v>
      </c>
      <c r="C55" s="1" t="n">
        <v>45586</v>
      </c>
      <c r="D55" t="inlineStr">
        <is>
          <t>VÄSTRA GÖTALANDS LÄN</t>
        </is>
      </c>
      <c r="E55" t="inlineStr">
        <is>
          <t>ALE</t>
        </is>
      </c>
      <c r="G55" t="n">
        <v>0.7</v>
      </c>
      <c r="H55" t="n">
        <v>3</v>
      </c>
      <c r="I55" t="n">
        <v>6</v>
      </c>
      <c r="J55" t="n">
        <v>1</v>
      </c>
      <c r="K55" t="n">
        <v>0</v>
      </c>
      <c r="L55" t="n">
        <v>0</v>
      </c>
      <c r="M55" t="n">
        <v>0</v>
      </c>
      <c r="N55" t="n">
        <v>0</v>
      </c>
      <c r="O55" t="n">
        <v>1</v>
      </c>
      <c r="P55" t="n">
        <v>0</v>
      </c>
      <c r="Q55" t="n">
        <v>9</v>
      </c>
      <c r="R55" s="2" t="inlineStr">
        <is>
          <t>Spillkråka
Blåmossa
Bronshjon
Smal svampklubba
Stor revmossa
Vedticka
Vågbandad barkbock
Kungsfågel
Vanlig snok</t>
        </is>
      </c>
      <c r="S55">
        <f>HYPERLINK("https://klasma.github.io/Logging_1440/artfynd/A 39593-2024 artfynd.xlsx", "A 39593-2024")</f>
        <v/>
      </c>
      <c r="T55">
        <f>HYPERLINK("https://klasma.github.io/Logging_1440/kartor/A 39593-2024 karta.png", "A 39593-2024")</f>
        <v/>
      </c>
      <c r="V55">
        <f>HYPERLINK("https://klasma.github.io/Logging_1440/klagomål/A 39593-2024 FSC-klagomål.docx", "A 39593-2024")</f>
        <v/>
      </c>
      <c r="W55">
        <f>HYPERLINK("https://klasma.github.io/Logging_1440/klagomålsmail/A 39593-2024 FSC-klagomål mail.docx", "A 39593-2024")</f>
        <v/>
      </c>
      <c r="X55">
        <f>HYPERLINK("https://klasma.github.io/Logging_1440/tillsyn/A 39593-2024 tillsynsbegäran.docx", "A 39593-2024")</f>
        <v/>
      </c>
      <c r="Y55">
        <f>HYPERLINK("https://klasma.github.io/Logging_1440/tillsynsmail/A 39593-2024 tillsynsbegäran mail.docx", "A 39593-2024")</f>
        <v/>
      </c>
      <c r="Z55">
        <f>HYPERLINK("https://klasma.github.io/Logging_1440/fåglar/A 39593-2024 prioriterade fågelarter.docx", "A 39593-2024")</f>
        <v/>
      </c>
    </row>
    <row r="56" ht="15" customHeight="1">
      <c r="A56" t="inlineStr">
        <is>
          <t>A 47557-2020</t>
        </is>
      </c>
      <c r="B56" s="1" t="n">
        <v>44098</v>
      </c>
      <c r="C56" s="1" t="n">
        <v>45586</v>
      </c>
      <c r="D56" t="inlineStr">
        <is>
          <t>VÄSTRA GÖTALANDS LÄN</t>
        </is>
      </c>
      <c r="E56" t="inlineStr">
        <is>
          <t>ORUST</t>
        </is>
      </c>
      <c r="G56" t="n">
        <v>4.6</v>
      </c>
      <c r="H56" t="n">
        <v>3</v>
      </c>
      <c r="I56" t="n">
        <v>1</v>
      </c>
      <c r="J56" t="n">
        <v>4</v>
      </c>
      <c r="K56" t="n">
        <v>1</v>
      </c>
      <c r="L56" t="n">
        <v>0</v>
      </c>
      <c r="M56" t="n">
        <v>0</v>
      </c>
      <c r="N56" t="n">
        <v>0</v>
      </c>
      <c r="O56" t="n">
        <v>5</v>
      </c>
      <c r="P56" t="n">
        <v>1</v>
      </c>
      <c r="Q56" t="n">
        <v>8</v>
      </c>
      <c r="R56" s="2" t="inlineStr">
        <is>
          <t>Knärot
Dvärglin
Klofibbla
Strandnarv
Sylnarv
Murgröna
Bohusmarrisp
Lopplummer</t>
        </is>
      </c>
      <c r="S56">
        <f>HYPERLINK("https://klasma.github.io/Logging_1421/artfynd/A 47557-2020 artfynd.xlsx", "A 47557-2020")</f>
        <v/>
      </c>
      <c r="T56">
        <f>HYPERLINK("https://klasma.github.io/Logging_1421/kartor/A 47557-2020 karta.png", "A 47557-2020")</f>
        <v/>
      </c>
      <c r="U56">
        <f>HYPERLINK("https://klasma.github.io/Logging_1421/knärot/A 47557-2020 karta knärot.png", "A 47557-2020")</f>
        <v/>
      </c>
      <c r="V56">
        <f>HYPERLINK("https://klasma.github.io/Logging_1421/klagomål/A 47557-2020 FSC-klagomål.docx", "A 47557-2020")</f>
        <v/>
      </c>
      <c r="W56">
        <f>HYPERLINK("https://klasma.github.io/Logging_1421/klagomålsmail/A 47557-2020 FSC-klagomål mail.docx", "A 47557-2020")</f>
        <v/>
      </c>
      <c r="X56">
        <f>HYPERLINK("https://klasma.github.io/Logging_1421/tillsyn/A 47557-2020 tillsynsbegäran.docx", "A 47557-2020")</f>
        <v/>
      </c>
      <c r="Y56">
        <f>HYPERLINK("https://klasma.github.io/Logging_1421/tillsynsmail/A 47557-2020 tillsynsbegäran mail.docx", "A 47557-2020")</f>
        <v/>
      </c>
    </row>
    <row r="57" ht="15" customHeight="1">
      <c r="A57" t="inlineStr">
        <is>
          <t>A 1293-2021</t>
        </is>
      </c>
      <c r="B57" s="1" t="n">
        <v>44208</v>
      </c>
      <c r="C57" s="1" t="n">
        <v>45586</v>
      </c>
      <c r="D57" t="inlineStr">
        <is>
          <t>VÄSTRA GÖTALANDS LÄN</t>
        </is>
      </c>
      <c r="E57" t="inlineStr">
        <is>
          <t>TANUM</t>
        </is>
      </c>
      <c r="G57" t="n">
        <v>2.5</v>
      </c>
      <c r="H57" t="n">
        <v>4</v>
      </c>
      <c r="I57" t="n">
        <v>3</v>
      </c>
      <c r="J57" t="n">
        <v>4</v>
      </c>
      <c r="K57" t="n">
        <v>1</v>
      </c>
      <c r="L57" t="n">
        <v>0</v>
      </c>
      <c r="M57" t="n">
        <v>0</v>
      </c>
      <c r="N57" t="n">
        <v>0</v>
      </c>
      <c r="O57" t="n">
        <v>5</v>
      </c>
      <c r="P57" t="n">
        <v>1</v>
      </c>
      <c r="Q57" t="n">
        <v>8</v>
      </c>
      <c r="R57" s="2" t="inlineStr">
        <is>
          <t>Knärot
Spillkråka
Talltita
Tretåig hackspett
Vedskivlav
Klippfrullania
Platt fjädermossa
Sotlav</t>
        </is>
      </c>
      <c r="S57">
        <f>HYPERLINK("https://klasma.github.io/Logging_1435/artfynd/A 1293-2021 artfynd.xlsx", "A 1293-2021")</f>
        <v/>
      </c>
      <c r="T57">
        <f>HYPERLINK("https://klasma.github.io/Logging_1435/kartor/A 1293-2021 karta.png", "A 1293-2021")</f>
        <v/>
      </c>
      <c r="U57">
        <f>HYPERLINK("https://klasma.github.io/Logging_1435/knärot/A 1293-2021 karta knärot.png", "A 1293-2021")</f>
        <v/>
      </c>
      <c r="V57">
        <f>HYPERLINK("https://klasma.github.io/Logging_1435/klagomål/A 1293-2021 FSC-klagomål.docx", "A 1293-2021")</f>
        <v/>
      </c>
      <c r="W57">
        <f>HYPERLINK("https://klasma.github.io/Logging_1435/klagomålsmail/A 1293-2021 FSC-klagomål mail.docx", "A 1293-2021")</f>
        <v/>
      </c>
      <c r="X57">
        <f>HYPERLINK("https://klasma.github.io/Logging_1435/tillsyn/A 1293-2021 tillsynsbegäran.docx", "A 1293-2021")</f>
        <v/>
      </c>
      <c r="Y57">
        <f>HYPERLINK("https://klasma.github.io/Logging_1435/tillsynsmail/A 1293-2021 tillsynsbegäran mail.docx", "A 1293-2021")</f>
        <v/>
      </c>
      <c r="Z57">
        <f>HYPERLINK("https://klasma.github.io/Logging_1435/fåglar/A 1293-2021 prioriterade fågelarter.docx", "A 1293-2021")</f>
        <v/>
      </c>
    </row>
    <row r="58" ht="15" customHeight="1">
      <c r="A58" t="inlineStr">
        <is>
          <t>A 22584-2021</t>
        </is>
      </c>
      <c r="B58" s="1" t="n">
        <v>44327</v>
      </c>
      <c r="C58" s="1" t="n">
        <v>45586</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37322-2021</t>
        </is>
      </c>
      <c r="B59" s="1" t="n">
        <v>44397</v>
      </c>
      <c r="C59" s="1" t="n">
        <v>45586</v>
      </c>
      <c r="D59" t="inlineStr">
        <is>
          <t>VÄSTRA GÖTALANDS LÄN</t>
        </is>
      </c>
      <c r="E59" t="inlineStr">
        <is>
          <t>LILLA EDET</t>
        </is>
      </c>
      <c r="G59" t="n">
        <v>9.800000000000001</v>
      </c>
      <c r="H59" t="n">
        <v>3</v>
      </c>
      <c r="I59" t="n">
        <v>5</v>
      </c>
      <c r="J59" t="n">
        <v>1</v>
      </c>
      <c r="K59" t="n">
        <v>0</v>
      </c>
      <c r="L59" t="n">
        <v>0</v>
      </c>
      <c r="M59" t="n">
        <v>0</v>
      </c>
      <c r="N59" t="n">
        <v>0</v>
      </c>
      <c r="O59" t="n">
        <v>1</v>
      </c>
      <c r="P59" t="n">
        <v>0</v>
      </c>
      <c r="Q59" t="n">
        <v>8</v>
      </c>
      <c r="R59" s="2" t="inlineStr">
        <is>
          <t>Spillkråka
Blåmossa
Havstulpanlav
Klippfrullania
Stor revmossa
Västlig hakmossa
Gröngöling
Revlummer</t>
        </is>
      </c>
      <c r="S59">
        <f>HYPERLINK("https://klasma.github.io/Logging_1462/artfynd/A 37322-2021 artfynd.xlsx", "A 37322-2021")</f>
        <v/>
      </c>
      <c r="T59">
        <f>HYPERLINK("https://klasma.github.io/Logging_1462/kartor/A 37322-2021 karta.png", "A 37322-2021")</f>
        <v/>
      </c>
      <c r="V59">
        <f>HYPERLINK("https://klasma.github.io/Logging_1462/klagomål/A 37322-2021 FSC-klagomål.docx", "A 37322-2021")</f>
        <v/>
      </c>
      <c r="W59">
        <f>HYPERLINK("https://klasma.github.io/Logging_1462/klagomålsmail/A 37322-2021 FSC-klagomål mail.docx", "A 37322-2021")</f>
        <v/>
      </c>
      <c r="X59">
        <f>HYPERLINK("https://klasma.github.io/Logging_1462/tillsyn/A 37322-2021 tillsynsbegäran.docx", "A 37322-2021")</f>
        <v/>
      </c>
      <c r="Y59">
        <f>HYPERLINK("https://klasma.github.io/Logging_1462/tillsynsmail/A 37322-2021 tillsynsbegäran mail.docx", "A 37322-2021")</f>
        <v/>
      </c>
      <c r="Z59">
        <f>HYPERLINK("https://klasma.github.io/Logging_1462/fåglar/A 37322-2021 prioriterade fågelarter.docx", "A 37322-2021")</f>
        <v/>
      </c>
    </row>
    <row r="60" ht="15" customHeight="1">
      <c r="A60" t="inlineStr">
        <is>
          <t>A 44561-2021</t>
        </is>
      </c>
      <c r="B60" s="1" t="n">
        <v>44435</v>
      </c>
      <c r="C60" s="1" t="n">
        <v>45586</v>
      </c>
      <c r="D60" t="inlineStr">
        <is>
          <t>VÄSTRA GÖTALANDS LÄN</t>
        </is>
      </c>
      <c r="E60" t="inlineStr">
        <is>
          <t>FÄRGELANDA</t>
        </is>
      </c>
      <c r="G60" t="n">
        <v>17.6</v>
      </c>
      <c r="H60" t="n">
        <v>1</v>
      </c>
      <c r="I60" t="n">
        <v>4</v>
      </c>
      <c r="J60" t="n">
        <v>3</v>
      </c>
      <c r="K60" t="n">
        <v>1</v>
      </c>
      <c r="L60" t="n">
        <v>0</v>
      </c>
      <c r="M60" t="n">
        <v>0</v>
      </c>
      <c r="N60" t="n">
        <v>0</v>
      </c>
      <c r="O60" t="n">
        <v>4</v>
      </c>
      <c r="P60" t="n">
        <v>1</v>
      </c>
      <c r="Q60" t="n">
        <v>8</v>
      </c>
      <c r="R60" s="2" t="inlineStr">
        <is>
          <t>Stor skogsbäckmossa
Dofttaggsvamp
Gul taggsvamp
Skirmossa
Dropptaggsvamp
Svavelriska
Sårläka
Vätteros</t>
        </is>
      </c>
      <c r="S60">
        <f>HYPERLINK("https://klasma.github.io/Logging_1439/artfynd/A 44561-2021 artfynd.xlsx", "A 44561-2021")</f>
        <v/>
      </c>
      <c r="T60">
        <f>HYPERLINK("https://klasma.github.io/Logging_1439/kartor/A 44561-2021 karta.png", "A 44561-2021")</f>
        <v/>
      </c>
      <c r="V60">
        <f>HYPERLINK("https://klasma.github.io/Logging_1439/klagomål/A 44561-2021 FSC-klagomål.docx", "A 44561-2021")</f>
        <v/>
      </c>
      <c r="W60">
        <f>HYPERLINK("https://klasma.github.io/Logging_1439/klagomålsmail/A 44561-2021 FSC-klagomål mail.docx", "A 44561-2021")</f>
        <v/>
      </c>
      <c r="X60">
        <f>HYPERLINK("https://klasma.github.io/Logging_1439/tillsyn/A 44561-2021 tillsynsbegäran.docx", "A 44561-2021")</f>
        <v/>
      </c>
      <c r="Y60">
        <f>HYPERLINK("https://klasma.github.io/Logging_1439/tillsynsmail/A 44561-2021 tillsynsbegäran mail.docx", "A 44561-2021")</f>
        <v/>
      </c>
    </row>
    <row r="61" ht="15" customHeight="1">
      <c r="A61" t="inlineStr">
        <is>
          <t>A 44809-2021</t>
        </is>
      </c>
      <c r="B61" s="1" t="n">
        <v>44438</v>
      </c>
      <c r="C61" s="1" t="n">
        <v>45586</v>
      </c>
      <c r="D61" t="inlineStr">
        <is>
          <t>VÄSTRA GÖTALANDS LÄN</t>
        </is>
      </c>
      <c r="E61" t="inlineStr">
        <is>
          <t>BENGTSFORS</t>
        </is>
      </c>
      <c r="G61" t="n">
        <v>37.8</v>
      </c>
      <c r="H61" t="n">
        <v>6</v>
      </c>
      <c r="I61" t="n">
        <v>2</v>
      </c>
      <c r="J61" t="n">
        <v>4</v>
      </c>
      <c r="K61" t="n">
        <v>0</v>
      </c>
      <c r="L61" t="n">
        <v>0</v>
      </c>
      <c r="M61" t="n">
        <v>0</v>
      </c>
      <c r="N61" t="n">
        <v>0</v>
      </c>
      <c r="O61" t="n">
        <v>4</v>
      </c>
      <c r="P61" t="n">
        <v>0</v>
      </c>
      <c r="Q61" t="n">
        <v>8</v>
      </c>
      <c r="R61" s="2" t="inlineStr">
        <is>
          <t>Mindre hackspett
Spillkråka
Talltita
Tretåig hackspett
Fjällig taggsvamp s.str.
Platt fjädermossa
Vanlig padda
Blåsippa</t>
        </is>
      </c>
      <c r="S61">
        <f>HYPERLINK("https://klasma.github.io/Logging_1460/artfynd/A 44809-2021 artfynd.xlsx", "A 44809-2021")</f>
        <v/>
      </c>
      <c r="T61">
        <f>HYPERLINK("https://klasma.github.io/Logging_1460/kartor/A 44809-2021 karta.png", "A 44809-2021")</f>
        <v/>
      </c>
      <c r="V61">
        <f>HYPERLINK("https://klasma.github.io/Logging_1460/klagomål/A 44809-2021 FSC-klagomål.docx", "A 44809-2021")</f>
        <v/>
      </c>
      <c r="W61">
        <f>HYPERLINK("https://klasma.github.io/Logging_1460/klagomålsmail/A 44809-2021 FSC-klagomål mail.docx", "A 44809-2021")</f>
        <v/>
      </c>
      <c r="X61">
        <f>HYPERLINK("https://klasma.github.io/Logging_1460/tillsyn/A 44809-2021 tillsynsbegäran.docx", "A 44809-2021")</f>
        <v/>
      </c>
      <c r="Y61">
        <f>HYPERLINK("https://klasma.github.io/Logging_1460/tillsynsmail/A 44809-2021 tillsynsbegäran mail.docx", "A 44809-2021")</f>
        <v/>
      </c>
      <c r="Z61">
        <f>HYPERLINK("https://klasma.github.io/Logging_1460/fåglar/A 44809-2021 prioriterade fågelarter.docx", "A 44809-2021")</f>
        <v/>
      </c>
    </row>
    <row r="62" ht="15" customHeight="1">
      <c r="A62" t="inlineStr">
        <is>
          <t>A 19007-2023</t>
        </is>
      </c>
      <c r="B62" s="1" t="n">
        <v>45045</v>
      </c>
      <c r="C62" s="1" t="n">
        <v>45586</v>
      </c>
      <c r="D62" t="inlineStr">
        <is>
          <t>VÄSTRA GÖTALANDS LÄN</t>
        </is>
      </c>
      <c r="E62" t="inlineStr">
        <is>
          <t>ALE</t>
        </is>
      </c>
      <c r="G62" t="n">
        <v>2.4</v>
      </c>
      <c r="H62" t="n">
        <v>6</v>
      </c>
      <c r="I62" t="n">
        <v>2</v>
      </c>
      <c r="J62" t="n">
        <v>5</v>
      </c>
      <c r="K62" t="n">
        <v>0</v>
      </c>
      <c r="L62" t="n">
        <v>0</v>
      </c>
      <c r="M62" t="n">
        <v>0</v>
      </c>
      <c r="N62" t="n">
        <v>0</v>
      </c>
      <c r="O62" t="n">
        <v>5</v>
      </c>
      <c r="P62" t="n">
        <v>0</v>
      </c>
      <c r="Q62" t="n">
        <v>8</v>
      </c>
      <c r="R62" s="2" t="inlineStr">
        <is>
          <t>Entita
Havsörn
Mindre hackspett
Spillkråka
Talltita
Blomkålssvamp
Västlig hakmossa
Skogsduva</t>
        </is>
      </c>
      <c r="S62">
        <f>HYPERLINK("https://klasma.github.io/Logging_1440/artfynd/A 19007-2023 artfynd.xlsx", "A 19007-2023")</f>
        <v/>
      </c>
      <c r="T62">
        <f>HYPERLINK("https://klasma.github.io/Logging_1440/kartor/A 19007-2023 karta.png", "A 19007-2023")</f>
        <v/>
      </c>
      <c r="V62">
        <f>HYPERLINK("https://klasma.github.io/Logging_1440/klagomål/A 19007-2023 FSC-klagomål.docx", "A 19007-2023")</f>
        <v/>
      </c>
      <c r="W62">
        <f>HYPERLINK("https://klasma.github.io/Logging_1440/klagomålsmail/A 19007-2023 FSC-klagomål mail.docx", "A 19007-2023")</f>
        <v/>
      </c>
      <c r="X62">
        <f>HYPERLINK("https://klasma.github.io/Logging_1440/tillsyn/A 19007-2023 tillsynsbegäran.docx", "A 19007-2023")</f>
        <v/>
      </c>
      <c r="Y62">
        <f>HYPERLINK("https://klasma.github.io/Logging_1440/tillsynsmail/A 19007-2023 tillsynsbegäran mail.docx", "A 19007-2023")</f>
        <v/>
      </c>
      <c r="Z62">
        <f>HYPERLINK("https://klasma.github.io/Logging_1440/fåglar/A 19007-2023 prioriterade fågelarter.docx", "A 19007-2023")</f>
        <v/>
      </c>
    </row>
    <row r="63" ht="15" customHeight="1">
      <c r="A63" t="inlineStr">
        <is>
          <t>A 32849-2023</t>
        </is>
      </c>
      <c r="B63" s="1" t="n">
        <v>45124</v>
      </c>
      <c r="C63" s="1" t="n">
        <v>45586</v>
      </c>
      <c r="D63" t="inlineStr">
        <is>
          <t>VÄSTRA GÖTALANDS LÄN</t>
        </is>
      </c>
      <c r="E63" t="inlineStr">
        <is>
          <t>ALE</t>
        </is>
      </c>
      <c r="G63" t="n">
        <v>5.6</v>
      </c>
      <c r="H63" t="n">
        <v>2</v>
      </c>
      <c r="I63" t="n">
        <v>6</v>
      </c>
      <c r="J63" t="n">
        <v>1</v>
      </c>
      <c r="K63" t="n">
        <v>0</v>
      </c>
      <c r="L63" t="n">
        <v>0</v>
      </c>
      <c r="M63" t="n">
        <v>0</v>
      </c>
      <c r="N63" t="n">
        <v>0</v>
      </c>
      <c r="O63" t="n">
        <v>1</v>
      </c>
      <c r="P63" t="n">
        <v>0</v>
      </c>
      <c r="Q63" t="n">
        <v>8</v>
      </c>
      <c r="R63" s="2" t="inlineStr">
        <is>
          <t>Spillkråka
Blåmossa
Kornknutmossa
Sotriska
Stor revmossa
Stubbspretmossa
Västlig hakmossa
Vanlig groda</t>
        </is>
      </c>
      <c r="S63">
        <f>HYPERLINK("https://klasma.github.io/Logging_1440/artfynd/A 32849-2023 artfynd.xlsx", "A 32849-2023")</f>
        <v/>
      </c>
      <c r="T63">
        <f>HYPERLINK("https://klasma.github.io/Logging_1440/kartor/A 32849-2023 karta.png", "A 32849-2023")</f>
        <v/>
      </c>
      <c r="V63">
        <f>HYPERLINK("https://klasma.github.io/Logging_1440/klagomål/A 32849-2023 FSC-klagomål.docx", "A 32849-2023")</f>
        <v/>
      </c>
      <c r="W63">
        <f>HYPERLINK("https://klasma.github.io/Logging_1440/klagomålsmail/A 32849-2023 FSC-klagomål mail.docx", "A 32849-2023")</f>
        <v/>
      </c>
      <c r="X63">
        <f>HYPERLINK("https://klasma.github.io/Logging_1440/tillsyn/A 32849-2023 tillsynsbegäran.docx", "A 32849-2023")</f>
        <v/>
      </c>
      <c r="Y63">
        <f>HYPERLINK("https://klasma.github.io/Logging_1440/tillsynsmail/A 32849-2023 tillsynsbegäran mail.docx", "A 32849-2023")</f>
        <v/>
      </c>
      <c r="Z63">
        <f>HYPERLINK("https://klasma.github.io/Logging_1440/fåglar/A 32849-2023 prioriterade fågelarter.docx", "A 32849-2023")</f>
        <v/>
      </c>
    </row>
    <row r="64" ht="15" customHeight="1">
      <c r="A64" t="inlineStr">
        <is>
          <t>A 318-2024</t>
        </is>
      </c>
      <c r="B64" s="1" t="n">
        <v>45295</v>
      </c>
      <c r="C64" s="1" t="n">
        <v>45586</v>
      </c>
      <c r="D64" t="inlineStr">
        <is>
          <t>VÄSTRA GÖTALANDS LÄN</t>
        </is>
      </c>
      <c r="E64" t="inlineStr">
        <is>
          <t>LILLA EDET</t>
        </is>
      </c>
      <c r="F64" t="inlineStr">
        <is>
          <t>Kyrkan</t>
        </is>
      </c>
      <c r="G64" t="n">
        <v>8.1</v>
      </c>
      <c r="H64" t="n">
        <v>2</v>
      </c>
      <c r="I64" t="n">
        <v>6</v>
      </c>
      <c r="J64" t="n">
        <v>1</v>
      </c>
      <c r="K64" t="n">
        <v>0</v>
      </c>
      <c r="L64" t="n">
        <v>0</v>
      </c>
      <c r="M64" t="n">
        <v>0</v>
      </c>
      <c r="N64" t="n">
        <v>0</v>
      </c>
      <c r="O64" t="n">
        <v>1</v>
      </c>
      <c r="P64" t="n">
        <v>0</v>
      </c>
      <c r="Q64" t="n">
        <v>8</v>
      </c>
      <c r="R64" s="2" t="inlineStr">
        <is>
          <t>Spillkråka
Blåmossa
Fällmossa
Kattfotslav
Klippfrullania
Stor revmossa
Västlig hakmossa
Revlummer</t>
        </is>
      </c>
      <c r="S64">
        <f>HYPERLINK("https://klasma.github.io/Logging_1462/artfynd/A 318-2024 artfynd.xlsx", "A 318-2024")</f>
        <v/>
      </c>
      <c r="T64">
        <f>HYPERLINK("https://klasma.github.io/Logging_1462/kartor/A 318-2024 karta.png", "A 318-2024")</f>
        <v/>
      </c>
      <c r="V64">
        <f>HYPERLINK("https://klasma.github.io/Logging_1462/klagomål/A 318-2024 FSC-klagomål.docx", "A 318-2024")</f>
        <v/>
      </c>
      <c r="W64">
        <f>HYPERLINK("https://klasma.github.io/Logging_1462/klagomålsmail/A 318-2024 FSC-klagomål mail.docx", "A 318-2024")</f>
        <v/>
      </c>
      <c r="X64">
        <f>HYPERLINK("https://klasma.github.io/Logging_1462/tillsyn/A 318-2024 tillsynsbegäran.docx", "A 318-2024")</f>
        <v/>
      </c>
      <c r="Y64">
        <f>HYPERLINK("https://klasma.github.io/Logging_1462/tillsynsmail/A 318-2024 tillsynsbegäran mail.docx", "A 318-2024")</f>
        <v/>
      </c>
      <c r="Z64">
        <f>HYPERLINK("https://klasma.github.io/Logging_1462/fåglar/A 318-2024 prioriterade fågelarter.docx", "A 318-2024")</f>
        <v/>
      </c>
    </row>
    <row r="65" ht="15" customHeight="1">
      <c r="A65" t="inlineStr">
        <is>
          <t>A 35310-2024</t>
        </is>
      </c>
      <c r="B65" s="1" t="n">
        <v>45530</v>
      </c>
      <c r="C65" s="1" t="n">
        <v>45586</v>
      </c>
      <c r="D65" t="inlineStr">
        <is>
          <t>VÄSTRA GÖTALANDS LÄN</t>
        </is>
      </c>
      <c r="E65" t="inlineStr">
        <is>
          <t>TANUM</t>
        </is>
      </c>
      <c r="G65" t="n">
        <v>2.1</v>
      </c>
      <c r="H65" t="n">
        <v>5</v>
      </c>
      <c r="I65" t="n">
        <v>3</v>
      </c>
      <c r="J65" t="n">
        <v>3</v>
      </c>
      <c r="K65" t="n">
        <v>1</v>
      </c>
      <c r="L65" t="n">
        <v>0</v>
      </c>
      <c r="M65" t="n">
        <v>0</v>
      </c>
      <c r="N65" t="n">
        <v>0</v>
      </c>
      <c r="O65" t="n">
        <v>4</v>
      </c>
      <c r="P65" t="n">
        <v>1</v>
      </c>
      <c r="Q65" t="n">
        <v>8</v>
      </c>
      <c r="R65" s="2" t="inlineStr">
        <is>
          <t>Knärot
Spillkråka
Talltita
Tretåig hackspett
Korallblylav
Rävticka
Stor revmossa
Tjäder</t>
        </is>
      </c>
      <c r="S65">
        <f>HYPERLINK("https://klasma.github.io/Logging_1435/artfynd/A 35310-2024 artfynd.xlsx", "A 35310-2024")</f>
        <v/>
      </c>
      <c r="T65">
        <f>HYPERLINK("https://klasma.github.io/Logging_1435/kartor/A 35310-2024 karta.png", "A 35310-2024")</f>
        <v/>
      </c>
      <c r="U65">
        <f>HYPERLINK("https://klasma.github.io/Logging_1435/knärot/A 35310-2024 karta knärot.png", "A 35310-2024")</f>
        <v/>
      </c>
      <c r="V65">
        <f>HYPERLINK("https://klasma.github.io/Logging_1435/klagomål/A 35310-2024 FSC-klagomål.docx", "A 35310-2024")</f>
        <v/>
      </c>
      <c r="W65">
        <f>HYPERLINK("https://klasma.github.io/Logging_1435/klagomålsmail/A 35310-2024 FSC-klagomål mail.docx", "A 35310-2024")</f>
        <v/>
      </c>
      <c r="X65">
        <f>HYPERLINK("https://klasma.github.io/Logging_1435/tillsyn/A 35310-2024 tillsynsbegäran.docx", "A 35310-2024")</f>
        <v/>
      </c>
      <c r="Y65">
        <f>HYPERLINK("https://klasma.github.io/Logging_1435/tillsynsmail/A 35310-2024 tillsynsbegäran mail.docx", "A 35310-2024")</f>
        <v/>
      </c>
      <c r="Z65">
        <f>HYPERLINK("https://klasma.github.io/Logging_1435/fåglar/A 35310-2024 prioriterade fågelarter.docx", "A 35310-2024")</f>
        <v/>
      </c>
    </row>
    <row r="66" ht="15" customHeight="1">
      <c r="A66" t="inlineStr">
        <is>
          <t>A 39592-2024</t>
        </is>
      </c>
      <c r="B66" s="1" t="n">
        <v>45552</v>
      </c>
      <c r="C66" s="1" t="n">
        <v>45586</v>
      </c>
      <c r="D66" t="inlineStr">
        <is>
          <t>VÄSTRA GÖTALANDS LÄN</t>
        </is>
      </c>
      <c r="E66" t="inlineStr">
        <is>
          <t>ALE</t>
        </is>
      </c>
      <c r="G66" t="n">
        <v>1.2</v>
      </c>
      <c r="H66" t="n">
        <v>3</v>
      </c>
      <c r="I66" t="n">
        <v>4</v>
      </c>
      <c r="J66" t="n">
        <v>1</v>
      </c>
      <c r="K66" t="n">
        <v>1</v>
      </c>
      <c r="L66" t="n">
        <v>0</v>
      </c>
      <c r="M66" t="n">
        <v>0</v>
      </c>
      <c r="N66" t="n">
        <v>0</v>
      </c>
      <c r="O66" t="n">
        <v>2</v>
      </c>
      <c r="P66" t="n">
        <v>1</v>
      </c>
      <c r="Q66" t="n">
        <v>8</v>
      </c>
      <c r="R66" s="2" t="inlineStr">
        <is>
          <t>Flikbålmossa
Spillkråka
Bronshjon
Stor revmossa
Västlig hakmossa
Vågbandad barkbock
Kungsfågel
Revlummer</t>
        </is>
      </c>
      <c r="S66">
        <f>HYPERLINK("https://klasma.github.io/Logging_1440/artfynd/A 39592-2024 artfynd.xlsx", "A 39592-2024")</f>
        <v/>
      </c>
      <c r="T66">
        <f>HYPERLINK("https://klasma.github.io/Logging_1440/kartor/A 39592-2024 karta.png", "A 39592-2024")</f>
        <v/>
      </c>
      <c r="V66">
        <f>HYPERLINK("https://klasma.github.io/Logging_1440/klagomål/A 39592-2024 FSC-klagomål.docx", "A 39592-2024")</f>
        <v/>
      </c>
      <c r="W66">
        <f>HYPERLINK("https://klasma.github.io/Logging_1440/klagomålsmail/A 39592-2024 FSC-klagomål mail.docx", "A 39592-2024")</f>
        <v/>
      </c>
      <c r="X66">
        <f>HYPERLINK("https://klasma.github.io/Logging_1440/tillsyn/A 39592-2024 tillsynsbegäran.docx", "A 39592-2024")</f>
        <v/>
      </c>
      <c r="Y66">
        <f>HYPERLINK("https://klasma.github.io/Logging_1440/tillsynsmail/A 39592-2024 tillsynsbegäran mail.docx", "A 39592-2024")</f>
        <v/>
      </c>
      <c r="Z66">
        <f>HYPERLINK("https://klasma.github.io/Logging_1440/fåglar/A 39592-2024 prioriterade fågelarter.docx", "A 39592-2024")</f>
        <v/>
      </c>
    </row>
    <row r="67" ht="15" customHeight="1">
      <c r="A67" t="inlineStr">
        <is>
          <t>A 25142-2021</t>
        </is>
      </c>
      <c r="B67" s="1" t="n">
        <v>44341</v>
      </c>
      <c r="C67" s="1" t="n">
        <v>45586</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25404-2021</t>
        </is>
      </c>
      <c r="B68" s="1" t="n">
        <v>44342</v>
      </c>
      <c r="C68" s="1" t="n">
        <v>45586</v>
      </c>
      <c r="D68" t="inlineStr">
        <is>
          <t>VÄSTRA GÖTALANDS LÄN</t>
        </is>
      </c>
      <c r="E68" t="inlineStr">
        <is>
          <t>MUNKEDAL</t>
        </is>
      </c>
      <c r="G68" t="n">
        <v>4.5</v>
      </c>
      <c r="H68" t="n">
        <v>2</v>
      </c>
      <c r="I68" t="n">
        <v>5</v>
      </c>
      <c r="J68" t="n">
        <v>1</v>
      </c>
      <c r="K68" t="n">
        <v>0</v>
      </c>
      <c r="L68" t="n">
        <v>0</v>
      </c>
      <c r="M68" t="n">
        <v>0</v>
      </c>
      <c r="N68" t="n">
        <v>0</v>
      </c>
      <c r="O68" t="n">
        <v>1</v>
      </c>
      <c r="P68" t="n">
        <v>0</v>
      </c>
      <c r="Q68" t="n">
        <v>7</v>
      </c>
      <c r="R68" s="2" t="inlineStr">
        <is>
          <t>Spillkråka
Blåmossa
Klippfrullania
Platt fjädermossa
Stor revmossa
Västlig hakmossa
Blåsippa</t>
        </is>
      </c>
      <c r="S68">
        <f>HYPERLINK("https://klasma.github.io/Logging_1430/artfynd/A 25404-2021 artfynd.xlsx", "A 25404-2021")</f>
        <v/>
      </c>
      <c r="T68">
        <f>HYPERLINK("https://klasma.github.io/Logging_1430/kartor/A 25404-2021 karta.png", "A 25404-2021")</f>
        <v/>
      </c>
      <c r="V68">
        <f>HYPERLINK("https://klasma.github.io/Logging_1430/klagomål/A 25404-2021 FSC-klagomål.docx", "A 25404-2021")</f>
        <v/>
      </c>
      <c r="W68">
        <f>HYPERLINK("https://klasma.github.io/Logging_1430/klagomålsmail/A 25404-2021 FSC-klagomål mail.docx", "A 25404-2021")</f>
        <v/>
      </c>
      <c r="X68">
        <f>HYPERLINK("https://klasma.github.io/Logging_1430/tillsyn/A 25404-2021 tillsynsbegäran.docx", "A 25404-2021")</f>
        <v/>
      </c>
      <c r="Y68">
        <f>HYPERLINK("https://klasma.github.io/Logging_1430/tillsynsmail/A 25404-2021 tillsynsbegäran mail.docx", "A 25404-2021")</f>
        <v/>
      </c>
      <c r="Z68">
        <f>HYPERLINK("https://klasma.github.io/Logging_1430/fåglar/A 25404-2021 prioriterade fågelarter.docx", "A 25404-2021")</f>
        <v/>
      </c>
    </row>
    <row r="69" ht="15" customHeight="1">
      <c r="A69" t="inlineStr">
        <is>
          <t>A 29057-2021</t>
        </is>
      </c>
      <c r="B69" s="1" t="n">
        <v>44358</v>
      </c>
      <c r="C69" s="1" t="n">
        <v>45586</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68519-2021</t>
        </is>
      </c>
      <c r="B70" s="1" t="n">
        <v>44529</v>
      </c>
      <c r="C70" s="1" t="n">
        <v>45586</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45586</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55351-2022</t>
        </is>
      </c>
      <c r="B72" s="1" t="n">
        <v>44882</v>
      </c>
      <c r="C72" s="1" t="n">
        <v>45586</v>
      </c>
      <c r="D72" t="inlineStr">
        <is>
          <t>VÄSTRA GÖTALANDS LÄN</t>
        </is>
      </c>
      <c r="E72" t="inlineStr">
        <is>
          <t>LERUM</t>
        </is>
      </c>
      <c r="F72" t="inlineStr">
        <is>
          <t>Kommuner</t>
        </is>
      </c>
      <c r="G72" t="n">
        <v>4.3</v>
      </c>
      <c r="H72" t="n">
        <v>6</v>
      </c>
      <c r="I72" t="n">
        <v>1</v>
      </c>
      <c r="J72" t="n">
        <v>2</v>
      </c>
      <c r="K72" t="n">
        <v>0</v>
      </c>
      <c r="L72" t="n">
        <v>0</v>
      </c>
      <c r="M72" t="n">
        <v>0</v>
      </c>
      <c r="N72" t="n">
        <v>0</v>
      </c>
      <c r="O72" t="n">
        <v>2</v>
      </c>
      <c r="P72" t="n">
        <v>0</v>
      </c>
      <c r="Q72" t="n">
        <v>7</v>
      </c>
      <c r="R72" s="2" t="inlineStr">
        <is>
          <t>Grönsångare
Kråka
Västlig hakmossa
Skogsödla
Vanlig groda
Vanlig padda
Revlummer</t>
        </is>
      </c>
      <c r="S72">
        <f>HYPERLINK("https://klasma.github.io/Logging_1441/artfynd/A 55351-2022 artfynd.xlsx", "A 55351-2022")</f>
        <v/>
      </c>
      <c r="T72">
        <f>HYPERLINK("https://klasma.github.io/Logging_1441/kartor/A 55351-2022 karta.png", "A 55351-2022")</f>
        <v/>
      </c>
      <c r="V72">
        <f>HYPERLINK("https://klasma.github.io/Logging_1441/klagomål/A 55351-2022 FSC-klagomål.docx", "A 55351-2022")</f>
        <v/>
      </c>
      <c r="W72">
        <f>HYPERLINK("https://klasma.github.io/Logging_1441/klagomålsmail/A 55351-2022 FSC-klagomål mail.docx", "A 55351-2022")</f>
        <v/>
      </c>
      <c r="X72">
        <f>HYPERLINK("https://klasma.github.io/Logging_1441/tillsyn/A 55351-2022 tillsynsbegäran.docx", "A 55351-2022")</f>
        <v/>
      </c>
      <c r="Y72">
        <f>HYPERLINK("https://klasma.github.io/Logging_1441/tillsynsmail/A 55351-2022 tillsynsbegäran mail.docx", "A 55351-2022")</f>
        <v/>
      </c>
      <c r="Z72">
        <f>HYPERLINK("https://klasma.github.io/Logging_1441/fåglar/A 55351-2022 prioriterade fågelarter.docx", "A 55351-2022")</f>
        <v/>
      </c>
    </row>
    <row r="73" ht="15" customHeight="1">
      <c r="A73" t="inlineStr">
        <is>
          <t>A 26885-2023</t>
        </is>
      </c>
      <c r="B73" s="1" t="n">
        <v>45093</v>
      </c>
      <c r="C73" s="1" t="n">
        <v>45586</v>
      </c>
      <c r="D73" t="inlineStr">
        <is>
          <t>VÄSTRA GÖTALANDS LÄN</t>
        </is>
      </c>
      <c r="E73" t="inlineStr">
        <is>
          <t>MARK</t>
        </is>
      </c>
      <c r="G73" t="n">
        <v>8.1</v>
      </c>
      <c r="H73" t="n">
        <v>3</v>
      </c>
      <c r="I73" t="n">
        <v>0</v>
      </c>
      <c r="J73" t="n">
        <v>3</v>
      </c>
      <c r="K73" t="n">
        <v>1</v>
      </c>
      <c r="L73" t="n">
        <v>0</v>
      </c>
      <c r="M73" t="n">
        <v>0</v>
      </c>
      <c r="N73" t="n">
        <v>0</v>
      </c>
      <c r="O73" t="n">
        <v>4</v>
      </c>
      <c r="P73" t="n">
        <v>1</v>
      </c>
      <c r="Q73" t="n">
        <v>7</v>
      </c>
      <c r="R73" s="2" t="inlineStr">
        <is>
          <t>Slåttergubbe
Backtimjan
Granspira
Svinrot
Fläcknycklar
Grönvit nattviol
Revlummer</t>
        </is>
      </c>
      <c r="S73">
        <f>HYPERLINK("https://klasma.github.io/Logging_1463/artfynd/A 26885-2023 artfynd.xlsx", "A 26885-2023")</f>
        <v/>
      </c>
      <c r="T73">
        <f>HYPERLINK("https://klasma.github.io/Logging_1463/kartor/A 26885-2023 karta.png", "A 26885-2023")</f>
        <v/>
      </c>
      <c r="V73">
        <f>HYPERLINK("https://klasma.github.io/Logging_1463/klagomål/A 26885-2023 FSC-klagomål.docx", "A 26885-2023")</f>
        <v/>
      </c>
      <c r="W73">
        <f>HYPERLINK("https://klasma.github.io/Logging_1463/klagomålsmail/A 26885-2023 FSC-klagomål mail.docx", "A 26885-2023")</f>
        <v/>
      </c>
      <c r="X73">
        <f>HYPERLINK("https://klasma.github.io/Logging_1463/tillsyn/A 26885-2023 tillsynsbegäran.docx", "A 26885-2023")</f>
        <v/>
      </c>
      <c r="Y73">
        <f>HYPERLINK("https://klasma.github.io/Logging_1463/tillsynsmail/A 26885-2023 tillsynsbegäran mail.docx", "A 26885-2023")</f>
        <v/>
      </c>
    </row>
    <row r="74" ht="15" customHeight="1">
      <c r="A74" t="inlineStr">
        <is>
          <t>A 60679-2023</t>
        </is>
      </c>
      <c r="B74" s="1" t="n">
        <v>45260</v>
      </c>
      <c r="C74" s="1" t="n">
        <v>45586</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1202-2024</t>
        </is>
      </c>
      <c r="B75" s="1" t="n">
        <v>45302</v>
      </c>
      <c r="C75" s="1" t="n">
        <v>45586</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13969-2024</t>
        </is>
      </c>
      <c r="B76" s="1" t="n">
        <v>45392</v>
      </c>
      <c r="C76" s="1" t="n">
        <v>45586</v>
      </c>
      <c r="D76" t="inlineStr">
        <is>
          <t>VÄSTRA GÖTALANDS LÄN</t>
        </is>
      </c>
      <c r="E76" t="inlineStr">
        <is>
          <t>BENGTSFORS</t>
        </is>
      </c>
      <c r="G76" t="n">
        <v>8</v>
      </c>
      <c r="H76" t="n">
        <v>6</v>
      </c>
      <c r="I76" t="n">
        <v>2</v>
      </c>
      <c r="J76" t="n">
        <v>2</v>
      </c>
      <c r="K76" t="n">
        <v>1</v>
      </c>
      <c r="L76" t="n">
        <v>0</v>
      </c>
      <c r="M76" t="n">
        <v>0</v>
      </c>
      <c r="N76" t="n">
        <v>0</v>
      </c>
      <c r="O76" t="n">
        <v>3</v>
      </c>
      <c r="P76" t="n">
        <v>1</v>
      </c>
      <c r="Q76" t="n">
        <v>7</v>
      </c>
      <c r="R76" s="2" t="inlineStr">
        <is>
          <t>Knärot
Mindre hackspett
Spillkråka
Grön sköldmossa
Vedticka
Mattlummer
Revlummer</t>
        </is>
      </c>
      <c r="S76">
        <f>HYPERLINK("https://klasma.github.io/Logging_1460/artfynd/A 13969-2024 artfynd.xlsx", "A 13969-2024")</f>
        <v/>
      </c>
      <c r="T76">
        <f>HYPERLINK("https://klasma.github.io/Logging_1460/kartor/A 13969-2024 karta.png", "A 13969-2024")</f>
        <v/>
      </c>
      <c r="U76">
        <f>HYPERLINK("https://klasma.github.io/Logging_1460/knärot/A 13969-2024 karta knärot.png", "A 13969-2024")</f>
        <v/>
      </c>
      <c r="V76">
        <f>HYPERLINK("https://klasma.github.io/Logging_1460/klagomål/A 13969-2024 FSC-klagomål.docx", "A 13969-2024")</f>
        <v/>
      </c>
      <c r="W76">
        <f>HYPERLINK("https://klasma.github.io/Logging_1460/klagomålsmail/A 13969-2024 FSC-klagomål mail.docx", "A 13969-2024")</f>
        <v/>
      </c>
      <c r="X76">
        <f>HYPERLINK("https://klasma.github.io/Logging_1460/tillsyn/A 13969-2024 tillsynsbegäran.docx", "A 13969-2024")</f>
        <v/>
      </c>
      <c r="Y76">
        <f>HYPERLINK("https://klasma.github.io/Logging_1460/tillsynsmail/A 13969-2024 tillsynsbegäran mail.docx", "A 13969-2024")</f>
        <v/>
      </c>
      <c r="Z76">
        <f>HYPERLINK("https://klasma.github.io/Logging_1460/fåglar/A 13969-2024 prioriterade fågelarter.docx", "A 13969-2024")</f>
        <v/>
      </c>
    </row>
    <row r="77" ht="15" customHeight="1">
      <c r="A77" t="inlineStr">
        <is>
          <t>A 17566-2024</t>
        </is>
      </c>
      <c r="B77" s="1" t="n">
        <v>45415</v>
      </c>
      <c r="C77" s="1" t="n">
        <v>45586</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18326-2024</t>
        </is>
      </c>
      <c r="B78" s="1" t="n">
        <v>45422</v>
      </c>
      <c r="C78" s="1" t="n">
        <v>45586</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21590-2019</t>
        </is>
      </c>
      <c r="B79" s="1" t="n">
        <v>43580</v>
      </c>
      <c r="C79" s="1" t="n">
        <v>45586</v>
      </c>
      <c r="D79" t="inlineStr">
        <is>
          <t>VÄSTRA GÖTALANDS LÄN</t>
        </is>
      </c>
      <c r="E79" t="inlineStr">
        <is>
          <t>UDDEVALLA</t>
        </is>
      </c>
      <c r="F79" t="inlineStr">
        <is>
          <t>Kyrkan</t>
        </is>
      </c>
      <c r="G79" t="n">
        <v>1.3</v>
      </c>
      <c r="H79" t="n">
        <v>1</v>
      </c>
      <c r="I79" t="n">
        <v>0</v>
      </c>
      <c r="J79" t="n">
        <v>4</v>
      </c>
      <c r="K79" t="n">
        <v>1</v>
      </c>
      <c r="L79" t="n">
        <v>0</v>
      </c>
      <c r="M79" t="n">
        <v>0</v>
      </c>
      <c r="N79" t="n">
        <v>0</v>
      </c>
      <c r="O79" t="n">
        <v>5</v>
      </c>
      <c r="P79" t="n">
        <v>1</v>
      </c>
      <c r="Q79" t="n">
        <v>6</v>
      </c>
      <c r="R79" s="2" t="inlineStr">
        <is>
          <t>Ljungögontröst
Dvärglin
Etternässla
Klofibbla
Pilblad
Revlummer</t>
        </is>
      </c>
      <c r="S79">
        <f>HYPERLINK("https://klasma.github.io/Logging_1485/artfynd/A 21590-2019 artfynd.xlsx", "A 21590-2019")</f>
        <v/>
      </c>
      <c r="T79">
        <f>HYPERLINK("https://klasma.github.io/Logging_1485/kartor/A 21590-2019 karta.png", "A 21590-2019")</f>
        <v/>
      </c>
      <c r="V79">
        <f>HYPERLINK("https://klasma.github.io/Logging_1485/klagomål/A 21590-2019 FSC-klagomål.docx", "A 21590-2019")</f>
        <v/>
      </c>
      <c r="W79">
        <f>HYPERLINK("https://klasma.github.io/Logging_1485/klagomålsmail/A 21590-2019 FSC-klagomål mail.docx", "A 21590-2019")</f>
        <v/>
      </c>
      <c r="X79">
        <f>HYPERLINK("https://klasma.github.io/Logging_1485/tillsyn/A 21590-2019 tillsynsbegäran.docx", "A 21590-2019")</f>
        <v/>
      </c>
      <c r="Y79">
        <f>HYPERLINK("https://klasma.github.io/Logging_1485/tillsynsmail/A 21590-2019 tillsynsbegäran mail.docx", "A 21590-2019")</f>
        <v/>
      </c>
    </row>
    <row r="80" ht="15" customHeight="1">
      <c r="A80" t="inlineStr">
        <is>
          <t>A 25436-2019</t>
        </is>
      </c>
      <c r="B80" s="1" t="n">
        <v>43606</v>
      </c>
      <c r="C80" s="1" t="n">
        <v>45586</v>
      </c>
      <c r="D80" t="inlineStr">
        <is>
          <t>VÄSTRA GÖTALANDS LÄN</t>
        </is>
      </c>
      <c r="E80" t="inlineStr">
        <is>
          <t>ALE</t>
        </is>
      </c>
      <c r="G80" t="n">
        <v>1.1</v>
      </c>
      <c r="H80" t="n">
        <v>2</v>
      </c>
      <c r="I80" t="n">
        <v>4</v>
      </c>
      <c r="J80" t="n">
        <v>2</v>
      </c>
      <c r="K80" t="n">
        <v>0</v>
      </c>
      <c r="L80" t="n">
        <v>0</v>
      </c>
      <c r="M80" t="n">
        <v>0</v>
      </c>
      <c r="N80" t="n">
        <v>0</v>
      </c>
      <c r="O80" t="n">
        <v>2</v>
      </c>
      <c r="P80" t="n">
        <v>0</v>
      </c>
      <c r="Q80" t="n">
        <v>6</v>
      </c>
      <c r="R80" s="2" t="inlineStr">
        <is>
          <t>Spillkråka
Talltita
Blåmossa
Havstulpanlav
Kattfotslav
Klippfrullania</t>
        </is>
      </c>
      <c r="S80">
        <f>HYPERLINK("https://klasma.github.io/Logging_1440/artfynd/A 25436-2019 artfynd.xlsx", "A 25436-2019")</f>
        <v/>
      </c>
      <c r="T80">
        <f>HYPERLINK("https://klasma.github.io/Logging_1440/kartor/A 25436-2019 karta.png", "A 25436-2019")</f>
        <v/>
      </c>
      <c r="V80">
        <f>HYPERLINK("https://klasma.github.io/Logging_1440/klagomål/A 25436-2019 FSC-klagomål.docx", "A 25436-2019")</f>
        <v/>
      </c>
      <c r="W80">
        <f>HYPERLINK("https://klasma.github.io/Logging_1440/klagomålsmail/A 25436-2019 FSC-klagomål mail.docx", "A 25436-2019")</f>
        <v/>
      </c>
      <c r="X80">
        <f>HYPERLINK("https://klasma.github.io/Logging_1440/tillsyn/A 25436-2019 tillsynsbegäran.docx", "A 25436-2019")</f>
        <v/>
      </c>
      <c r="Y80">
        <f>HYPERLINK("https://klasma.github.io/Logging_1440/tillsynsmail/A 25436-2019 tillsynsbegäran mail.docx", "A 25436-2019")</f>
        <v/>
      </c>
      <c r="Z80">
        <f>HYPERLINK("https://klasma.github.io/Logging_1440/fåglar/A 25436-2019 prioriterade fågelarter.docx", "A 25436-2019")</f>
        <v/>
      </c>
    </row>
    <row r="81" ht="15" customHeight="1">
      <c r="A81" t="inlineStr">
        <is>
          <t>A 31970-2019</t>
        </is>
      </c>
      <c r="B81" s="1" t="n">
        <v>43642</v>
      </c>
      <c r="C81" s="1" t="n">
        <v>45586</v>
      </c>
      <c r="D81" t="inlineStr">
        <is>
          <t>VÄSTRA GÖTALANDS LÄN</t>
        </is>
      </c>
      <c r="E81" t="inlineStr">
        <is>
          <t>STRÖMSTAD</t>
        </is>
      </c>
      <c r="G81" t="n">
        <v>3.3</v>
      </c>
      <c r="H81" t="n">
        <v>5</v>
      </c>
      <c r="I81" t="n">
        <v>1</v>
      </c>
      <c r="J81" t="n">
        <v>1</v>
      </c>
      <c r="K81" t="n">
        <v>1</v>
      </c>
      <c r="L81" t="n">
        <v>0</v>
      </c>
      <c r="M81" t="n">
        <v>0</v>
      </c>
      <c r="N81" t="n">
        <v>0</v>
      </c>
      <c r="O81" t="n">
        <v>2</v>
      </c>
      <c r="P81" t="n">
        <v>1</v>
      </c>
      <c r="Q81" t="n">
        <v>6</v>
      </c>
      <c r="R81" s="2" t="inlineStr">
        <is>
          <t>Knärot
Spillkråka
Murgröna
Vanlig snok
Lopplummer
Revlummer</t>
        </is>
      </c>
      <c r="S81">
        <f>HYPERLINK("https://klasma.github.io/Logging_1486/artfynd/A 31970-2019 artfynd.xlsx", "A 31970-2019")</f>
        <v/>
      </c>
      <c r="T81">
        <f>HYPERLINK("https://klasma.github.io/Logging_1486/kartor/A 31970-2019 karta.png", "A 31970-2019")</f>
        <v/>
      </c>
      <c r="U81">
        <f>HYPERLINK("https://klasma.github.io/Logging_1486/knärot/A 31970-2019 karta knärot.png", "A 31970-2019")</f>
        <v/>
      </c>
      <c r="V81">
        <f>HYPERLINK("https://klasma.github.io/Logging_1486/klagomål/A 31970-2019 FSC-klagomål.docx", "A 31970-2019")</f>
        <v/>
      </c>
      <c r="W81">
        <f>HYPERLINK("https://klasma.github.io/Logging_1486/klagomålsmail/A 31970-2019 FSC-klagomål mail.docx", "A 31970-2019")</f>
        <v/>
      </c>
      <c r="X81">
        <f>HYPERLINK("https://klasma.github.io/Logging_1486/tillsyn/A 31970-2019 tillsynsbegäran.docx", "A 31970-2019")</f>
        <v/>
      </c>
      <c r="Y81">
        <f>HYPERLINK("https://klasma.github.io/Logging_1486/tillsynsmail/A 31970-2019 tillsynsbegäran mail.docx", "A 31970-2019")</f>
        <v/>
      </c>
      <c r="Z81">
        <f>HYPERLINK("https://klasma.github.io/Logging_1486/fåglar/A 31970-2019 prioriterade fågelarter.docx", "A 31970-2019")</f>
        <v/>
      </c>
    </row>
    <row r="82" ht="15" customHeight="1">
      <c r="A82" t="inlineStr">
        <is>
          <t>A 34947-2019</t>
        </is>
      </c>
      <c r="B82" s="1" t="n">
        <v>43658</v>
      </c>
      <c r="C82" s="1" t="n">
        <v>45586</v>
      </c>
      <c r="D82" t="inlineStr">
        <is>
          <t>VÄSTRA GÖTALANDS LÄN</t>
        </is>
      </c>
      <c r="E82" t="inlineStr">
        <is>
          <t>HÄRRYDA</t>
        </is>
      </c>
      <c r="G82" t="n">
        <v>1</v>
      </c>
      <c r="H82" t="n">
        <v>6</v>
      </c>
      <c r="I82" t="n">
        <v>0</v>
      </c>
      <c r="J82" t="n">
        <v>4</v>
      </c>
      <c r="K82" t="n">
        <v>0</v>
      </c>
      <c r="L82" t="n">
        <v>0</v>
      </c>
      <c r="M82" t="n">
        <v>0</v>
      </c>
      <c r="N82" t="n">
        <v>0</v>
      </c>
      <c r="O82" t="n">
        <v>4</v>
      </c>
      <c r="P82" t="n">
        <v>0</v>
      </c>
      <c r="Q82" t="n">
        <v>6</v>
      </c>
      <c r="R82" s="2" t="inlineStr">
        <is>
          <t>Brunlångöra
Gulsparv
Nordfladdermus
Talltita
Dvärgpipistrell
Tjäder</t>
        </is>
      </c>
      <c r="S82">
        <f>HYPERLINK("https://klasma.github.io/Logging_1401/artfynd/A 34947-2019 artfynd.xlsx", "A 34947-2019")</f>
        <v/>
      </c>
      <c r="T82">
        <f>HYPERLINK("https://klasma.github.io/Logging_1401/kartor/A 34947-2019 karta.png", "A 34947-2019")</f>
        <v/>
      </c>
      <c r="V82">
        <f>HYPERLINK("https://klasma.github.io/Logging_1401/klagomål/A 34947-2019 FSC-klagomål.docx", "A 34947-2019")</f>
        <v/>
      </c>
      <c r="W82">
        <f>HYPERLINK("https://klasma.github.io/Logging_1401/klagomålsmail/A 34947-2019 FSC-klagomål mail.docx", "A 34947-2019")</f>
        <v/>
      </c>
      <c r="X82">
        <f>HYPERLINK("https://klasma.github.io/Logging_1401/tillsyn/A 34947-2019 tillsynsbegäran.docx", "A 34947-2019")</f>
        <v/>
      </c>
      <c r="Y82">
        <f>HYPERLINK("https://klasma.github.io/Logging_1401/tillsynsmail/A 34947-2019 tillsynsbegäran mail.docx", "A 34947-2019")</f>
        <v/>
      </c>
      <c r="Z82">
        <f>HYPERLINK("https://klasma.github.io/Logging_1401/fåglar/A 34947-2019 prioriterade fågelarter.docx", "A 34947-2019")</f>
        <v/>
      </c>
    </row>
    <row r="83" ht="15" customHeight="1">
      <c r="A83" t="inlineStr">
        <is>
          <t>A 14414-2020</t>
        </is>
      </c>
      <c r="B83" s="1" t="n">
        <v>43908</v>
      </c>
      <c r="C83" s="1" t="n">
        <v>45586</v>
      </c>
      <c r="D83" t="inlineStr">
        <is>
          <t>VÄSTRA GÖTALANDS LÄN</t>
        </is>
      </c>
      <c r="E83" t="inlineStr">
        <is>
          <t>MARIESTAD</t>
        </is>
      </c>
      <c r="F83" t="inlineStr">
        <is>
          <t>Kyrkan</t>
        </is>
      </c>
      <c r="G83" t="n">
        <v>5</v>
      </c>
      <c r="H83" t="n">
        <v>1</v>
      </c>
      <c r="I83" t="n">
        <v>4</v>
      </c>
      <c r="J83" t="n">
        <v>1</v>
      </c>
      <c r="K83" t="n">
        <v>1</v>
      </c>
      <c r="L83" t="n">
        <v>0</v>
      </c>
      <c r="M83" t="n">
        <v>0</v>
      </c>
      <c r="N83" t="n">
        <v>0</v>
      </c>
      <c r="O83" t="n">
        <v>2</v>
      </c>
      <c r="P83" t="n">
        <v>1</v>
      </c>
      <c r="Q83" t="n">
        <v>6</v>
      </c>
      <c r="R83" s="2" t="inlineStr">
        <is>
          <t>Knärot
Tallticka
Granbarkgnagare
Grovticka
Lönnlav
Thomsons trägnagare</t>
        </is>
      </c>
      <c r="S83">
        <f>HYPERLINK("https://klasma.github.io/Logging_1493/artfynd/A 14414-2020 artfynd.xlsx", "A 14414-2020")</f>
        <v/>
      </c>
      <c r="T83">
        <f>HYPERLINK("https://klasma.github.io/Logging_1493/kartor/A 14414-2020 karta.png", "A 14414-2020")</f>
        <v/>
      </c>
      <c r="U83">
        <f>HYPERLINK("https://klasma.github.io/Logging_1493/knärot/A 14414-2020 karta knärot.png", "A 14414-2020")</f>
        <v/>
      </c>
      <c r="V83">
        <f>HYPERLINK("https://klasma.github.io/Logging_1493/klagomål/A 14414-2020 FSC-klagomål.docx", "A 14414-2020")</f>
        <v/>
      </c>
      <c r="W83">
        <f>HYPERLINK("https://klasma.github.io/Logging_1493/klagomålsmail/A 14414-2020 FSC-klagomål mail.docx", "A 14414-2020")</f>
        <v/>
      </c>
      <c r="X83">
        <f>HYPERLINK("https://klasma.github.io/Logging_1493/tillsyn/A 14414-2020 tillsynsbegäran.docx", "A 14414-2020")</f>
        <v/>
      </c>
      <c r="Y83">
        <f>HYPERLINK("https://klasma.github.io/Logging_1493/tillsynsmail/A 14414-2020 tillsynsbegäran mail.docx", "A 14414-2020")</f>
        <v/>
      </c>
    </row>
    <row r="84" ht="15" customHeight="1">
      <c r="A84" t="inlineStr">
        <is>
          <t>A 22578-2021</t>
        </is>
      </c>
      <c r="B84" s="1" t="n">
        <v>44327</v>
      </c>
      <c r="C84" s="1" t="n">
        <v>45586</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48654-2021</t>
        </is>
      </c>
      <c r="B85" s="1" t="n">
        <v>44452</v>
      </c>
      <c r="C85" s="1" t="n">
        <v>45586</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63067-2021</t>
        </is>
      </c>
      <c r="B86" s="1" t="n">
        <v>44505</v>
      </c>
      <c r="C86" s="1" t="n">
        <v>45586</v>
      </c>
      <c r="D86" t="inlineStr">
        <is>
          <t>VÄSTRA GÖTALANDS LÄN</t>
        </is>
      </c>
      <c r="E86" t="inlineStr">
        <is>
          <t>BENGTSFORS</t>
        </is>
      </c>
      <c r="G86" t="n">
        <v>14</v>
      </c>
      <c r="H86" t="n">
        <v>6</v>
      </c>
      <c r="I86" t="n">
        <v>0</v>
      </c>
      <c r="J86" t="n">
        <v>4</v>
      </c>
      <c r="K86" t="n">
        <v>0</v>
      </c>
      <c r="L86" t="n">
        <v>1</v>
      </c>
      <c r="M86" t="n">
        <v>0</v>
      </c>
      <c r="N86" t="n">
        <v>0</v>
      </c>
      <c r="O86" t="n">
        <v>5</v>
      </c>
      <c r="P86" t="n">
        <v>1</v>
      </c>
      <c r="Q86" t="n">
        <v>6</v>
      </c>
      <c r="R86" s="2" t="inlineStr">
        <is>
          <t>Tornseglare
Buskskvätta
Duvhök
Pilgrimsfalk
Ärtsångare
Trana</t>
        </is>
      </c>
      <c r="S86">
        <f>HYPERLINK("https://klasma.github.io/Logging_1460/artfynd/A 63067-2021 artfynd.xlsx", "A 63067-2021")</f>
        <v/>
      </c>
      <c r="T86">
        <f>HYPERLINK("https://klasma.github.io/Logging_1460/kartor/A 63067-2021 karta.png", "A 63067-2021")</f>
        <v/>
      </c>
      <c r="V86">
        <f>HYPERLINK("https://klasma.github.io/Logging_1460/klagomål/A 63067-2021 FSC-klagomål.docx", "A 63067-2021")</f>
        <v/>
      </c>
      <c r="W86">
        <f>HYPERLINK("https://klasma.github.io/Logging_1460/klagomålsmail/A 63067-2021 FSC-klagomål mail.docx", "A 63067-2021")</f>
        <v/>
      </c>
      <c r="X86">
        <f>HYPERLINK("https://klasma.github.io/Logging_1460/tillsyn/A 63067-2021 tillsynsbegäran.docx", "A 63067-2021")</f>
        <v/>
      </c>
      <c r="Y86">
        <f>HYPERLINK("https://klasma.github.io/Logging_1460/tillsynsmail/A 63067-2021 tillsynsbegäran mail.docx", "A 63067-2021")</f>
        <v/>
      </c>
      <c r="Z86">
        <f>HYPERLINK("https://klasma.github.io/Logging_1460/fåglar/A 63067-2021 prioriterade fågelarter.docx", "A 63067-2021")</f>
        <v/>
      </c>
    </row>
    <row r="87" ht="15" customHeight="1">
      <c r="A87" t="inlineStr">
        <is>
          <t>A 12353-2022</t>
        </is>
      </c>
      <c r="B87" s="1" t="n">
        <v>44637</v>
      </c>
      <c r="C87" s="1" t="n">
        <v>45586</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33191-2022</t>
        </is>
      </c>
      <c r="B88" s="1" t="n">
        <v>44785</v>
      </c>
      <c r="C88" s="1" t="n">
        <v>45586</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40983-2023</t>
        </is>
      </c>
      <c r="B89" s="1" t="n">
        <v>45173</v>
      </c>
      <c r="C89" s="1" t="n">
        <v>45586</v>
      </c>
      <c r="D89" t="inlineStr">
        <is>
          <t>VÄSTRA GÖTALANDS LÄN</t>
        </is>
      </c>
      <c r="E89" t="inlineStr">
        <is>
          <t>ALE</t>
        </is>
      </c>
      <c r="F89" t="inlineStr">
        <is>
          <t>Kyrkan</t>
        </is>
      </c>
      <c r="G89" t="n">
        <v>12.6</v>
      </c>
      <c r="H89" t="n">
        <v>2</v>
      </c>
      <c r="I89" t="n">
        <v>3</v>
      </c>
      <c r="J89" t="n">
        <v>3</v>
      </c>
      <c r="K89" t="n">
        <v>0</v>
      </c>
      <c r="L89" t="n">
        <v>0</v>
      </c>
      <c r="M89" t="n">
        <v>0</v>
      </c>
      <c r="N89" t="n">
        <v>0</v>
      </c>
      <c r="O89" t="n">
        <v>3</v>
      </c>
      <c r="P89" t="n">
        <v>0</v>
      </c>
      <c r="Q89" t="n">
        <v>6</v>
      </c>
      <c r="R89" s="2" t="inlineStr">
        <is>
          <t>Kortskaftad ärgspik
Spillkråka
Talltita
Klippfrullania
Rostfläck
Rävticka</t>
        </is>
      </c>
      <c r="S89">
        <f>HYPERLINK("https://klasma.github.io/Logging_1440/artfynd/A 40983-2023 artfynd.xlsx", "A 40983-2023")</f>
        <v/>
      </c>
      <c r="T89">
        <f>HYPERLINK("https://klasma.github.io/Logging_1440/kartor/A 40983-2023 karta.png", "A 40983-2023")</f>
        <v/>
      </c>
      <c r="V89">
        <f>HYPERLINK("https://klasma.github.io/Logging_1440/klagomål/A 40983-2023 FSC-klagomål.docx", "A 40983-2023")</f>
        <v/>
      </c>
      <c r="W89">
        <f>HYPERLINK("https://klasma.github.io/Logging_1440/klagomålsmail/A 40983-2023 FSC-klagomål mail.docx", "A 40983-2023")</f>
        <v/>
      </c>
      <c r="X89">
        <f>HYPERLINK("https://klasma.github.io/Logging_1440/tillsyn/A 40983-2023 tillsynsbegäran.docx", "A 40983-2023")</f>
        <v/>
      </c>
      <c r="Y89">
        <f>HYPERLINK("https://klasma.github.io/Logging_1440/tillsynsmail/A 40983-2023 tillsynsbegäran mail.docx", "A 40983-2023")</f>
        <v/>
      </c>
      <c r="Z89">
        <f>HYPERLINK("https://klasma.github.io/Logging_1440/fåglar/A 40983-2023 prioriterade fågelarter.docx", "A 40983-2023")</f>
        <v/>
      </c>
    </row>
    <row r="90" ht="15" customHeight="1">
      <c r="A90" t="inlineStr">
        <is>
          <t>A 44363-2023</t>
        </is>
      </c>
      <c r="B90" s="1" t="n">
        <v>45188</v>
      </c>
      <c r="C90" s="1" t="n">
        <v>45586</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45791-2023</t>
        </is>
      </c>
      <c r="B91" s="1" t="n">
        <v>45195</v>
      </c>
      <c r="C91" s="1" t="n">
        <v>45586</v>
      </c>
      <c r="D91" t="inlineStr">
        <is>
          <t>VÄSTRA GÖTALANDS LÄN</t>
        </is>
      </c>
      <c r="E91" t="inlineStr">
        <is>
          <t>LERUM</t>
        </is>
      </c>
      <c r="G91" t="n">
        <v>2</v>
      </c>
      <c r="H91" t="n">
        <v>0</v>
      </c>
      <c r="I91" t="n">
        <v>6</v>
      </c>
      <c r="J91" t="n">
        <v>0</v>
      </c>
      <c r="K91" t="n">
        <v>0</v>
      </c>
      <c r="L91" t="n">
        <v>0</v>
      </c>
      <c r="M91" t="n">
        <v>0</v>
      </c>
      <c r="N91" t="n">
        <v>0</v>
      </c>
      <c r="O91" t="n">
        <v>0</v>
      </c>
      <c r="P91" t="n">
        <v>0</v>
      </c>
      <c r="Q91" t="n">
        <v>6</v>
      </c>
      <c r="R91" s="2" t="inlineStr">
        <is>
          <t>Blåmossa
Blåsfliksmossa
Fällmossa
Klippfrullania
Kornknutmossa
Stor revmossa</t>
        </is>
      </c>
      <c r="S91">
        <f>HYPERLINK("https://klasma.github.io/Logging_1441/artfynd/A 45791-2023 artfynd.xlsx", "A 45791-2023")</f>
        <v/>
      </c>
      <c r="T91">
        <f>HYPERLINK("https://klasma.github.io/Logging_1441/kartor/A 45791-2023 karta.png", "A 45791-2023")</f>
        <v/>
      </c>
      <c r="V91">
        <f>HYPERLINK("https://klasma.github.io/Logging_1441/klagomål/A 45791-2023 FSC-klagomål.docx", "A 45791-2023")</f>
        <v/>
      </c>
      <c r="W91">
        <f>HYPERLINK("https://klasma.github.io/Logging_1441/klagomålsmail/A 45791-2023 FSC-klagomål mail.docx", "A 45791-2023")</f>
        <v/>
      </c>
      <c r="X91">
        <f>HYPERLINK("https://klasma.github.io/Logging_1441/tillsyn/A 45791-2023 tillsynsbegäran.docx", "A 45791-2023")</f>
        <v/>
      </c>
      <c r="Y91">
        <f>HYPERLINK("https://klasma.github.io/Logging_1441/tillsynsmail/A 45791-2023 tillsynsbegäran mail.docx", "A 45791-2023")</f>
        <v/>
      </c>
    </row>
    <row r="92" ht="15" customHeight="1">
      <c r="A92" t="inlineStr">
        <is>
          <t>A 62846-2023</t>
        </is>
      </c>
      <c r="B92" s="1" t="n">
        <v>45272</v>
      </c>
      <c r="C92" s="1" t="n">
        <v>45586</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3427-2024</t>
        </is>
      </c>
      <c r="B93" s="1" t="n">
        <v>45317</v>
      </c>
      <c r="C93" s="1" t="n">
        <v>45586</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7801-2024</t>
        </is>
      </c>
      <c r="B94" s="1" t="n">
        <v>45349</v>
      </c>
      <c r="C94" s="1" t="n">
        <v>45586</v>
      </c>
      <c r="D94" t="inlineStr">
        <is>
          <t>VÄSTRA GÖTALANDS LÄN</t>
        </is>
      </c>
      <c r="E94" t="inlineStr">
        <is>
          <t>DALS-ED</t>
        </is>
      </c>
      <c r="G94" t="n">
        <v>4.7</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7801-2024 artfynd.xlsx", "A 7801-2024")</f>
        <v/>
      </c>
      <c r="T94">
        <f>HYPERLINK("https://klasma.github.io/Logging_1438/kartor/A 7801-2024 karta.png", "A 7801-2024")</f>
        <v/>
      </c>
      <c r="U94">
        <f>HYPERLINK("https://klasma.github.io/Logging_1438/knärot/A 7801-2024 karta knärot.png", "A 7801-2024")</f>
        <v/>
      </c>
      <c r="V94">
        <f>HYPERLINK("https://klasma.github.io/Logging_1438/klagomål/A 7801-2024 FSC-klagomål.docx", "A 7801-2024")</f>
        <v/>
      </c>
      <c r="W94">
        <f>HYPERLINK("https://klasma.github.io/Logging_1438/klagomålsmail/A 7801-2024 FSC-klagomål mail.docx", "A 7801-2024")</f>
        <v/>
      </c>
      <c r="X94">
        <f>HYPERLINK("https://klasma.github.io/Logging_1438/tillsyn/A 7801-2024 tillsynsbegäran.docx", "A 7801-2024")</f>
        <v/>
      </c>
      <c r="Y94">
        <f>HYPERLINK("https://klasma.github.io/Logging_1438/tillsynsmail/A 7801-2024 tillsynsbegäran mail.docx", "A 7801-2024")</f>
        <v/>
      </c>
      <c r="Z94">
        <f>HYPERLINK("https://klasma.github.io/Logging_1438/fåglar/A 7801-2024 prioriterade fågelarter.docx", "A 7801-2024")</f>
        <v/>
      </c>
    </row>
    <row r="95" ht="15" customHeight="1">
      <c r="A95" t="inlineStr">
        <is>
          <t>A 11943-2024</t>
        </is>
      </c>
      <c r="B95" s="1" t="n">
        <v>45376</v>
      </c>
      <c r="C95" s="1" t="n">
        <v>45586</v>
      </c>
      <c r="D95" t="inlineStr">
        <is>
          <t>VÄSTRA GÖTALANDS LÄN</t>
        </is>
      </c>
      <c r="E95" t="inlineStr">
        <is>
          <t>TANUM</t>
        </is>
      </c>
      <c r="G95" t="n">
        <v>8.699999999999999</v>
      </c>
      <c r="H95" t="n">
        <v>5</v>
      </c>
      <c r="I95" t="n">
        <v>1</v>
      </c>
      <c r="J95" t="n">
        <v>0</v>
      </c>
      <c r="K95" t="n">
        <v>1</v>
      </c>
      <c r="L95" t="n">
        <v>0</v>
      </c>
      <c r="M95" t="n">
        <v>0</v>
      </c>
      <c r="N95" t="n">
        <v>0</v>
      </c>
      <c r="O95" t="n">
        <v>1</v>
      </c>
      <c r="P95" t="n">
        <v>1</v>
      </c>
      <c r="Q95" t="n">
        <v>6</v>
      </c>
      <c r="R95" s="2" t="inlineStr">
        <is>
          <t>Knärot
Kambräken
Fläcknycklar
Lopplummer
Mattlummer
Revlummer</t>
        </is>
      </c>
      <c r="S95">
        <f>HYPERLINK("https://klasma.github.io/Logging_1435/artfynd/A 11943-2024 artfynd.xlsx", "A 11943-2024")</f>
        <v/>
      </c>
      <c r="T95">
        <f>HYPERLINK("https://klasma.github.io/Logging_1435/kartor/A 11943-2024 karta.png", "A 11943-2024")</f>
        <v/>
      </c>
      <c r="U95">
        <f>HYPERLINK("https://klasma.github.io/Logging_1435/knärot/A 11943-2024 karta knärot.png", "A 11943-2024")</f>
        <v/>
      </c>
      <c r="V95">
        <f>HYPERLINK("https://klasma.github.io/Logging_1435/klagomål/A 11943-2024 FSC-klagomål.docx", "A 11943-2024")</f>
        <v/>
      </c>
      <c r="W95">
        <f>HYPERLINK("https://klasma.github.io/Logging_1435/klagomålsmail/A 11943-2024 FSC-klagomål mail.docx", "A 11943-2024")</f>
        <v/>
      </c>
      <c r="X95">
        <f>HYPERLINK("https://klasma.github.io/Logging_1435/tillsyn/A 11943-2024 tillsynsbegäran.docx", "A 11943-2024")</f>
        <v/>
      </c>
      <c r="Y95">
        <f>HYPERLINK("https://klasma.github.io/Logging_1435/tillsynsmail/A 11943-2024 tillsynsbegäran mail.docx", "A 11943-2024")</f>
        <v/>
      </c>
    </row>
    <row r="96" ht="15" customHeight="1">
      <c r="A96" t="inlineStr">
        <is>
          <t>A 20821-2024</t>
        </is>
      </c>
      <c r="B96" s="1" t="n">
        <v>45439</v>
      </c>
      <c r="C96" s="1" t="n">
        <v>45586</v>
      </c>
      <c r="D96" t="inlineStr">
        <is>
          <t>VÄSTRA GÖTALANDS LÄN</t>
        </is>
      </c>
      <c r="E96" t="inlineStr">
        <is>
          <t>LIDKÖPING</t>
        </is>
      </c>
      <c r="F96" t="inlineStr">
        <is>
          <t>Övriga statliga verk och myndigheter</t>
        </is>
      </c>
      <c r="G96" t="n">
        <v>8.199999999999999</v>
      </c>
      <c r="H96" t="n">
        <v>6</v>
      </c>
      <c r="I96" t="n">
        <v>0</v>
      </c>
      <c r="J96" t="n">
        <v>2</v>
      </c>
      <c r="K96" t="n">
        <v>0</v>
      </c>
      <c r="L96" t="n">
        <v>0</v>
      </c>
      <c r="M96" t="n">
        <v>0</v>
      </c>
      <c r="N96" t="n">
        <v>0</v>
      </c>
      <c r="O96" t="n">
        <v>2</v>
      </c>
      <c r="P96" t="n">
        <v>0</v>
      </c>
      <c r="Q96" t="n">
        <v>6</v>
      </c>
      <c r="R96" s="2" t="inlineStr">
        <is>
          <t>Nordfladdermus
Sydfladdermus
Dvärgpipistrell
Gråskimlig fladdermus
Större brunfladdermus
Vattenfladdermus</t>
        </is>
      </c>
      <c r="S96">
        <f>HYPERLINK("https://klasma.github.io/Logging_1494/artfynd/A 20821-2024 artfynd.xlsx", "A 20821-2024")</f>
        <v/>
      </c>
      <c r="T96">
        <f>HYPERLINK("https://klasma.github.io/Logging_1494/kartor/A 20821-2024 karta.png", "A 20821-2024")</f>
        <v/>
      </c>
      <c r="V96">
        <f>HYPERLINK("https://klasma.github.io/Logging_1494/klagomål/A 20821-2024 FSC-klagomål.docx", "A 20821-2024")</f>
        <v/>
      </c>
      <c r="W96">
        <f>HYPERLINK("https://klasma.github.io/Logging_1494/klagomålsmail/A 20821-2024 FSC-klagomål mail.docx", "A 20821-2024")</f>
        <v/>
      </c>
      <c r="X96">
        <f>HYPERLINK("https://klasma.github.io/Logging_1494/tillsyn/A 20821-2024 tillsynsbegäran.docx", "A 20821-2024")</f>
        <v/>
      </c>
      <c r="Y96">
        <f>HYPERLINK("https://klasma.github.io/Logging_1494/tillsynsmail/A 20821-2024 tillsynsbegäran mail.docx", "A 20821-2024")</f>
        <v/>
      </c>
    </row>
    <row r="97" ht="15" customHeight="1">
      <c r="A97" t="inlineStr">
        <is>
          <t>A 20980-2024</t>
        </is>
      </c>
      <c r="B97" s="1" t="n">
        <v>45439</v>
      </c>
      <c r="C97" s="1" t="n">
        <v>45586</v>
      </c>
      <c r="D97" t="inlineStr">
        <is>
          <t>VÄSTRA GÖTALANDS LÄN</t>
        </is>
      </c>
      <c r="E97" t="inlineStr">
        <is>
          <t>SKARA</t>
        </is>
      </c>
      <c r="G97" t="n">
        <v>9.699999999999999</v>
      </c>
      <c r="H97" t="n">
        <v>3</v>
      </c>
      <c r="I97" t="n">
        <v>3</v>
      </c>
      <c r="J97" t="n">
        <v>0</v>
      </c>
      <c r="K97" t="n">
        <v>0</v>
      </c>
      <c r="L97" t="n">
        <v>0</v>
      </c>
      <c r="M97" t="n">
        <v>1</v>
      </c>
      <c r="N97" t="n">
        <v>0</v>
      </c>
      <c r="O97" t="n">
        <v>1</v>
      </c>
      <c r="P97" t="n">
        <v>1</v>
      </c>
      <c r="Q97" t="n">
        <v>6</v>
      </c>
      <c r="R97" s="2" t="inlineStr">
        <is>
          <t>Skogsalm
Svart trolldruva
Tvåblad
Ögonpyrola
Grönvit nattviol
Blåsippa</t>
        </is>
      </c>
      <c r="S97">
        <f>HYPERLINK("https://klasma.github.io/Logging_1495/artfynd/A 20980-2024 artfynd.xlsx", "A 20980-2024")</f>
        <v/>
      </c>
      <c r="T97">
        <f>HYPERLINK("https://klasma.github.io/Logging_1495/kartor/A 20980-2024 karta.png", "A 20980-2024")</f>
        <v/>
      </c>
      <c r="V97">
        <f>HYPERLINK("https://klasma.github.io/Logging_1495/klagomål/A 20980-2024 FSC-klagomål.docx", "A 20980-2024")</f>
        <v/>
      </c>
      <c r="W97">
        <f>HYPERLINK("https://klasma.github.io/Logging_1495/klagomålsmail/A 20980-2024 FSC-klagomål mail.docx", "A 20980-2024")</f>
        <v/>
      </c>
      <c r="X97">
        <f>HYPERLINK("https://klasma.github.io/Logging_1495/tillsyn/A 20980-2024 tillsynsbegäran.docx", "A 20980-2024")</f>
        <v/>
      </c>
      <c r="Y97">
        <f>HYPERLINK("https://klasma.github.io/Logging_1495/tillsynsmail/A 20980-2024 tillsynsbegäran mail.docx", "A 20980-2024")</f>
        <v/>
      </c>
    </row>
    <row r="98" ht="15" customHeight="1">
      <c r="A98" t="inlineStr">
        <is>
          <t>A 36225-2024</t>
        </is>
      </c>
      <c r="B98" s="1" t="n">
        <v>45534</v>
      </c>
      <c r="C98" s="1" t="n">
        <v>45586</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41294-2024</t>
        </is>
      </c>
      <c r="B99" s="1" t="n">
        <v>45559</v>
      </c>
      <c r="C99" s="1" t="n">
        <v>45586</v>
      </c>
      <c r="D99" t="inlineStr">
        <is>
          <t>VÄSTRA GÖTALANDS LÄN</t>
        </is>
      </c>
      <c r="E99" t="inlineStr">
        <is>
          <t>ALE</t>
        </is>
      </c>
      <c r="G99" t="n">
        <v>3</v>
      </c>
      <c r="H99" t="n">
        <v>3</v>
      </c>
      <c r="I99" t="n">
        <v>3</v>
      </c>
      <c r="J99" t="n">
        <v>1</v>
      </c>
      <c r="K99" t="n">
        <v>0</v>
      </c>
      <c r="L99" t="n">
        <v>0</v>
      </c>
      <c r="M99" t="n">
        <v>0</v>
      </c>
      <c r="N99" t="n">
        <v>0</v>
      </c>
      <c r="O99" t="n">
        <v>1</v>
      </c>
      <c r="P99" t="n">
        <v>0</v>
      </c>
      <c r="Q99" t="n">
        <v>6</v>
      </c>
      <c r="R99" s="2" t="inlineStr">
        <is>
          <t>Spillkråka
Kornknutmossa
Smal svampklubba
Stor revmossa
Kungsfågel
Revlummer</t>
        </is>
      </c>
      <c r="S99">
        <f>HYPERLINK("https://klasma.github.io/Logging_1440/artfynd/A 41294-2024 artfynd.xlsx", "A 41294-2024")</f>
        <v/>
      </c>
      <c r="T99">
        <f>HYPERLINK("https://klasma.github.io/Logging_1440/kartor/A 41294-2024 karta.png", "A 41294-2024")</f>
        <v/>
      </c>
      <c r="V99">
        <f>HYPERLINK("https://klasma.github.io/Logging_1440/klagomål/A 41294-2024 FSC-klagomål.docx", "A 41294-2024")</f>
        <v/>
      </c>
      <c r="W99">
        <f>HYPERLINK("https://klasma.github.io/Logging_1440/klagomålsmail/A 41294-2024 FSC-klagomål mail.docx", "A 41294-2024")</f>
        <v/>
      </c>
      <c r="X99">
        <f>HYPERLINK("https://klasma.github.io/Logging_1440/tillsyn/A 41294-2024 tillsynsbegäran.docx", "A 41294-2024")</f>
        <v/>
      </c>
      <c r="Y99">
        <f>HYPERLINK("https://klasma.github.io/Logging_1440/tillsynsmail/A 41294-2024 tillsynsbegäran mail.docx", "A 41294-2024")</f>
        <v/>
      </c>
      <c r="Z99">
        <f>HYPERLINK("https://klasma.github.io/Logging_1440/fåglar/A 41294-2024 prioriterade fågelarter.docx", "A 41294-2024")</f>
        <v/>
      </c>
    </row>
    <row r="100" ht="15" customHeight="1">
      <c r="A100" t="inlineStr">
        <is>
          <t>A 20974-2019</t>
        </is>
      </c>
      <c r="B100" s="1" t="n">
        <v>43578</v>
      </c>
      <c r="C100" s="1" t="n">
        <v>45586</v>
      </c>
      <c r="D100" t="inlineStr">
        <is>
          <t>VÄSTRA GÖTALANDS LÄN</t>
        </is>
      </c>
      <c r="E100" t="inlineStr">
        <is>
          <t>MUNKEDAL</t>
        </is>
      </c>
      <c r="G100" t="n">
        <v>1.7</v>
      </c>
      <c r="H100" t="n">
        <v>1</v>
      </c>
      <c r="I100" t="n">
        <v>1</v>
      </c>
      <c r="J100" t="n">
        <v>2</v>
      </c>
      <c r="K100" t="n">
        <v>1</v>
      </c>
      <c r="L100" t="n">
        <v>0</v>
      </c>
      <c r="M100" t="n">
        <v>0</v>
      </c>
      <c r="N100" t="n">
        <v>0</v>
      </c>
      <c r="O100" t="n">
        <v>3</v>
      </c>
      <c r="P100" t="n">
        <v>1</v>
      </c>
      <c r="Q100" t="n">
        <v>5</v>
      </c>
      <c r="R100" s="2" t="inlineStr">
        <is>
          <t>Åkerrättika
Svinrot
Vårstarr
Blek stjärnmossa
Revlummer</t>
        </is>
      </c>
      <c r="S100">
        <f>HYPERLINK("https://klasma.github.io/Logging_1430/artfynd/A 20974-2019 artfynd.xlsx", "A 20974-2019")</f>
        <v/>
      </c>
      <c r="T100">
        <f>HYPERLINK("https://klasma.github.io/Logging_1430/kartor/A 20974-2019 karta.png", "A 20974-2019")</f>
        <v/>
      </c>
      <c r="V100">
        <f>HYPERLINK("https://klasma.github.io/Logging_1430/klagomål/A 20974-2019 FSC-klagomål.docx", "A 20974-2019")</f>
        <v/>
      </c>
      <c r="W100">
        <f>HYPERLINK("https://klasma.github.io/Logging_1430/klagomålsmail/A 20974-2019 FSC-klagomål mail.docx", "A 20974-2019")</f>
        <v/>
      </c>
      <c r="X100">
        <f>HYPERLINK("https://klasma.github.io/Logging_1430/tillsyn/A 20974-2019 tillsynsbegäran.docx", "A 20974-2019")</f>
        <v/>
      </c>
      <c r="Y100">
        <f>HYPERLINK("https://klasma.github.io/Logging_1430/tillsynsmail/A 20974-2019 tillsynsbegäran mail.docx", "A 20974-2019")</f>
        <v/>
      </c>
    </row>
    <row r="101" ht="15" customHeight="1">
      <c r="A101" t="inlineStr">
        <is>
          <t>A 45388-2019</t>
        </is>
      </c>
      <c r="B101" s="1" t="n">
        <v>43707</v>
      </c>
      <c r="C101" s="1" t="n">
        <v>45586</v>
      </c>
      <c r="D101" t="inlineStr">
        <is>
          <t>VÄSTRA GÖTALANDS LÄN</t>
        </is>
      </c>
      <c r="E101" t="inlineStr">
        <is>
          <t>TANUM</t>
        </is>
      </c>
      <c r="G101" t="n">
        <v>2.4</v>
      </c>
      <c r="H101" t="n">
        <v>3</v>
      </c>
      <c r="I101" t="n">
        <v>2</v>
      </c>
      <c r="J101" t="n">
        <v>2</v>
      </c>
      <c r="K101" t="n">
        <v>0</v>
      </c>
      <c r="L101" t="n">
        <v>0</v>
      </c>
      <c r="M101" t="n">
        <v>0</v>
      </c>
      <c r="N101" t="n">
        <v>0</v>
      </c>
      <c r="O101" t="n">
        <v>2</v>
      </c>
      <c r="P101" t="n">
        <v>0</v>
      </c>
      <c r="Q101" t="n">
        <v>5</v>
      </c>
      <c r="R101" s="2" t="inlineStr">
        <is>
          <t>Järpe
Spillkråka
Stor revmossa
Västlig hakmossa
Revlummer</t>
        </is>
      </c>
      <c r="S101">
        <f>HYPERLINK("https://klasma.github.io/Logging_1435/artfynd/A 45388-2019 artfynd.xlsx", "A 45388-2019")</f>
        <v/>
      </c>
      <c r="T101">
        <f>HYPERLINK("https://klasma.github.io/Logging_1435/kartor/A 45388-2019 karta.png", "A 45388-2019")</f>
        <v/>
      </c>
      <c r="V101">
        <f>HYPERLINK("https://klasma.github.io/Logging_1435/klagomål/A 45388-2019 FSC-klagomål.docx", "A 45388-2019")</f>
        <v/>
      </c>
      <c r="W101">
        <f>HYPERLINK("https://klasma.github.io/Logging_1435/klagomålsmail/A 45388-2019 FSC-klagomål mail.docx", "A 45388-2019")</f>
        <v/>
      </c>
      <c r="X101">
        <f>HYPERLINK("https://klasma.github.io/Logging_1435/tillsyn/A 45388-2019 tillsynsbegäran.docx", "A 45388-2019")</f>
        <v/>
      </c>
      <c r="Y101">
        <f>HYPERLINK("https://klasma.github.io/Logging_1435/tillsynsmail/A 45388-2019 tillsynsbegäran mail.docx", "A 45388-2019")</f>
        <v/>
      </c>
      <c r="Z101">
        <f>HYPERLINK("https://klasma.github.io/Logging_1435/fåglar/A 45388-2019 prioriterade fågelarter.docx", "A 45388-2019")</f>
        <v/>
      </c>
    </row>
    <row r="102" ht="15" customHeight="1">
      <c r="A102" t="inlineStr">
        <is>
          <t>A 31007-2020</t>
        </is>
      </c>
      <c r="B102" s="1" t="n">
        <v>44011</v>
      </c>
      <c r="C102" s="1" t="n">
        <v>45586</v>
      </c>
      <c r="D102" t="inlineStr">
        <is>
          <t>VÄSTRA GÖTALANDS LÄN</t>
        </is>
      </c>
      <c r="E102" t="inlineStr">
        <is>
          <t>SKÖVDE</t>
        </is>
      </c>
      <c r="G102" t="n">
        <v>3.9</v>
      </c>
      <c r="H102" t="n">
        <v>1</v>
      </c>
      <c r="I102" t="n">
        <v>2</v>
      </c>
      <c r="J102" t="n">
        <v>2</v>
      </c>
      <c r="K102" t="n">
        <v>0</v>
      </c>
      <c r="L102" t="n">
        <v>0</v>
      </c>
      <c r="M102" t="n">
        <v>0</v>
      </c>
      <c r="N102" t="n">
        <v>0</v>
      </c>
      <c r="O102" t="n">
        <v>2</v>
      </c>
      <c r="P102" t="n">
        <v>0</v>
      </c>
      <c r="Q102" t="n">
        <v>5</v>
      </c>
      <c r="R102" s="2" t="inlineStr">
        <is>
          <t>Granticka
Leptoporus mollis
Stor revmossa
Västlig hakmossa
Blåsippa</t>
        </is>
      </c>
      <c r="S102">
        <f>HYPERLINK("https://klasma.github.io/Logging_1496/artfynd/A 31007-2020 artfynd.xlsx", "A 31007-2020")</f>
        <v/>
      </c>
      <c r="T102">
        <f>HYPERLINK("https://klasma.github.io/Logging_1496/kartor/A 31007-2020 karta.png", "A 31007-2020")</f>
        <v/>
      </c>
      <c r="V102">
        <f>HYPERLINK("https://klasma.github.io/Logging_1496/klagomål/A 31007-2020 FSC-klagomål.docx", "A 31007-2020")</f>
        <v/>
      </c>
      <c r="W102">
        <f>HYPERLINK("https://klasma.github.io/Logging_1496/klagomålsmail/A 31007-2020 FSC-klagomål mail.docx", "A 31007-2020")</f>
        <v/>
      </c>
      <c r="X102">
        <f>HYPERLINK("https://klasma.github.io/Logging_1496/tillsyn/A 31007-2020 tillsynsbegäran.docx", "A 31007-2020")</f>
        <v/>
      </c>
      <c r="Y102">
        <f>HYPERLINK("https://klasma.github.io/Logging_1496/tillsynsmail/A 31007-2020 tillsynsbegäran mail.docx", "A 31007-2020")</f>
        <v/>
      </c>
    </row>
    <row r="103" ht="15" customHeight="1">
      <c r="A103" t="inlineStr">
        <is>
          <t>A 36315-2020</t>
        </is>
      </c>
      <c r="B103" s="1" t="n">
        <v>44049</v>
      </c>
      <c r="C103" s="1" t="n">
        <v>45586</v>
      </c>
      <c r="D103" t="inlineStr">
        <is>
          <t>VÄSTRA GÖTALANDS LÄN</t>
        </is>
      </c>
      <c r="E103" t="inlineStr">
        <is>
          <t>STENUNGSUND</t>
        </is>
      </c>
      <c r="F103" t="inlineStr">
        <is>
          <t>Sveaskog</t>
        </is>
      </c>
      <c r="G103" t="n">
        <v>17.1</v>
      </c>
      <c r="H103" t="n">
        <v>4</v>
      </c>
      <c r="I103" t="n">
        <v>1</v>
      </c>
      <c r="J103" t="n">
        <v>0</v>
      </c>
      <c r="K103" t="n">
        <v>1</v>
      </c>
      <c r="L103" t="n">
        <v>0</v>
      </c>
      <c r="M103" t="n">
        <v>0</v>
      </c>
      <c r="N103" t="n">
        <v>0</v>
      </c>
      <c r="O103" t="n">
        <v>1</v>
      </c>
      <c r="P103" t="n">
        <v>1</v>
      </c>
      <c r="Q103" t="n">
        <v>5</v>
      </c>
      <c r="R103" s="2" t="inlineStr">
        <is>
          <t>Hedjohannesört
Kambräken
Lopplummer
Mattlummer
Revlummer</t>
        </is>
      </c>
      <c r="S103">
        <f>HYPERLINK("https://klasma.github.io/Logging_1415/artfynd/A 36315-2020 artfynd.xlsx", "A 36315-2020")</f>
        <v/>
      </c>
      <c r="T103">
        <f>HYPERLINK("https://klasma.github.io/Logging_1415/kartor/A 36315-2020 karta.png", "A 36315-2020")</f>
        <v/>
      </c>
      <c r="V103">
        <f>HYPERLINK("https://klasma.github.io/Logging_1415/klagomål/A 36315-2020 FSC-klagomål.docx", "A 36315-2020")</f>
        <v/>
      </c>
      <c r="W103">
        <f>HYPERLINK("https://klasma.github.io/Logging_1415/klagomålsmail/A 36315-2020 FSC-klagomål mail.docx", "A 36315-2020")</f>
        <v/>
      </c>
      <c r="X103">
        <f>HYPERLINK("https://klasma.github.io/Logging_1415/tillsyn/A 36315-2020 tillsynsbegäran.docx", "A 36315-2020")</f>
        <v/>
      </c>
      <c r="Y103">
        <f>HYPERLINK("https://klasma.github.io/Logging_1415/tillsynsmail/A 36315-2020 tillsynsbegäran mail.docx", "A 36315-2020")</f>
        <v/>
      </c>
    </row>
    <row r="104" ht="15" customHeight="1">
      <c r="A104" t="inlineStr">
        <is>
          <t>A 51075-2020</t>
        </is>
      </c>
      <c r="B104" s="1" t="n">
        <v>44112</v>
      </c>
      <c r="C104" s="1" t="n">
        <v>45586</v>
      </c>
      <c r="D104" t="inlineStr">
        <is>
          <t>VÄSTRA GÖTALANDS LÄN</t>
        </is>
      </c>
      <c r="E104" t="inlineStr">
        <is>
          <t>ORUST</t>
        </is>
      </c>
      <c r="F104" t="inlineStr">
        <is>
          <t>Kommuner</t>
        </is>
      </c>
      <c r="G104" t="n">
        <v>1.5</v>
      </c>
      <c r="H104" t="n">
        <v>0</v>
      </c>
      <c r="I104" t="n">
        <v>3</v>
      </c>
      <c r="J104" t="n">
        <v>1</v>
      </c>
      <c r="K104" t="n">
        <v>1</v>
      </c>
      <c r="L104" t="n">
        <v>0</v>
      </c>
      <c r="M104" t="n">
        <v>0</v>
      </c>
      <c r="N104" t="n">
        <v>0</v>
      </c>
      <c r="O104" t="n">
        <v>2</v>
      </c>
      <c r="P104" t="n">
        <v>1</v>
      </c>
      <c r="Q104" t="n">
        <v>5</v>
      </c>
      <c r="R104" s="2" t="inlineStr">
        <is>
          <t>Blockskapania
Skogstrappmossa
Blåmossa
Stor revmossa
Västlig hakmossa</t>
        </is>
      </c>
      <c r="S104">
        <f>HYPERLINK("https://klasma.github.io/Logging_1421/artfynd/A 51075-2020 artfynd.xlsx", "A 51075-2020")</f>
        <v/>
      </c>
      <c r="T104">
        <f>HYPERLINK("https://klasma.github.io/Logging_1421/kartor/A 51075-2020 karta.png", "A 51075-2020")</f>
        <v/>
      </c>
      <c r="V104">
        <f>HYPERLINK("https://klasma.github.io/Logging_1421/klagomål/A 51075-2020 FSC-klagomål.docx", "A 51075-2020")</f>
        <v/>
      </c>
      <c r="W104">
        <f>HYPERLINK("https://klasma.github.io/Logging_1421/klagomålsmail/A 51075-2020 FSC-klagomål mail.docx", "A 51075-2020")</f>
        <v/>
      </c>
      <c r="X104">
        <f>HYPERLINK("https://klasma.github.io/Logging_1421/tillsyn/A 51075-2020 tillsynsbegäran.docx", "A 51075-2020")</f>
        <v/>
      </c>
      <c r="Y104">
        <f>HYPERLINK("https://klasma.github.io/Logging_1421/tillsynsmail/A 51075-2020 tillsynsbegäran mail.docx", "A 51075-2020")</f>
        <v/>
      </c>
    </row>
    <row r="105" ht="15" customHeight="1">
      <c r="A105" t="inlineStr">
        <is>
          <t>A 3329-2021</t>
        </is>
      </c>
      <c r="B105" s="1" t="n">
        <v>44217</v>
      </c>
      <c r="C105" s="1" t="n">
        <v>45586</v>
      </c>
      <c r="D105" t="inlineStr">
        <is>
          <t>VÄSTRA GÖTALANDS LÄN</t>
        </is>
      </c>
      <c r="E105" t="inlineStr">
        <is>
          <t>LIDKÖPING</t>
        </is>
      </c>
      <c r="G105" t="n">
        <v>22.7</v>
      </c>
      <c r="H105" t="n">
        <v>4</v>
      </c>
      <c r="I105" t="n">
        <v>0</v>
      </c>
      <c r="J105" t="n">
        <v>2</v>
      </c>
      <c r="K105" t="n">
        <v>0</v>
      </c>
      <c r="L105" t="n">
        <v>0</v>
      </c>
      <c r="M105" t="n">
        <v>0</v>
      </c>
      <c r="N105" t="n">
        <v>0</v>
      </c>
      <c r="O105" t="n">
        <v>2</v>
      </c>
      <c r="P105" t="n">
        <v>0</v>
      </c>
      <c r="Q105" t="n">
        <v>5</v>
      </c>
      <c r="R105" s="2" t="inlineStr">
        <is>
          <t>Gulsparv
Svinrot
Kopparödla
Skogsödla
Revlummer</t>
        </is>
      </c>
      <c r="S105">
        <f>HYPERLINK("https://klasma.github.io/Logging_1494/artfynd/A 3329-2021 artfynd.xlsx", "A 3329-2021")</f>
        <v/>
      </c>
      <c r="T105">
        <f>HYPERLINK("https://klasma.github.io/Logging_1494/kartor/A 3329-2021 karta.png", "A 3329-2021")</f>
        <v/>
      </c>
      <c r="V105">
        <f>HYPERLINK("https://klasma.github.io/Logging_1494/klagomål/A 3329-2021 FSC-klagomål.docx", "A 3329-2021")</f>
        <v/>
      </c>
      <c r="W105">
        <f>HYPERLINK("https://klasma.github.io/Logging_1494/klagomålsmail/A 3329-2021 FSC-klagomål mail.docx", "A 3329-2021")</f>
        <v/>
      </c>
      <c r="X105">
        <f>HYPERLINK("https://klasma.github.io/Logging_1494/tillsyn/A 3329-2021 tillsynsbegäran.docx", "A 3329-2021")</f>
        <v/>
      </c>
      <c r="Y105">
        <f>HYPERLINK("https://klasma.github.io/Logging_1494/tillsynsmail/A 3329-2021 tillsynsbegäran mail.docx", "A 3329-2021")</f>
        <v/>
      </c>
      <c r="Z105">
        <f>HYPERLINK("https://klasma.github.io/Logging_1494/fåglar/A 3329-2021 prioriterade fågelarter.docx", "A 3329-2021")</f>
        <v/>
      </c>
    </row>
    <row r="106" ht="15" customHeight="1">
      <c r="A106" t="inlineStr">
        <is>
          <t>A 4921-2021</t>
        </is>
      </c>
      <c r="B106" s="1" t="n">
        <v>44226</v>
      </c>
      <c r="C106" s="1" t="n">
        <v>45586</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13848-2021</t>
        </is>
      </c>
      <c r="B107" s="1" t="n">
        <v>44277</v>
      </c>
      <c r="C107" s="1" t="n">
        <v>45586</v>
      </c>
      <c r="D107" t="inlineStr">
        <is>
          <t>VÄSTRA GÖTALANDS LÄN</t>
        </is>
      </c>
      <c r="E107" t="inlineStr">
        <is>
          <t>SKÖVDE</t>
        </is>
      </c>
      <c r="G107" t="n">
        <v>4.9</v>
      </c>
      <c r="H107" t="n">
        <v>2</v>
      </c>
      <c r="I107" t="n">
        <v>2</v>
      </c>
      <c r="J107" t="n">
        <v>1</v>
      </c>
      <c r="K107" t="n">
        <v>0</v>
      </c>
      <c r="L107" t="n">
        <v>0</v>
      </c>
      <c r="M107" t="n">
        <v>1</v>
      </c>
      <c r="N107" t="n">
        <v>0</v>
      </c>
      <c r="O107" t="n">
        <v>2</v>
      </c>
      <c r="P107" t="n">
        <v>1</v>
      </c>
      <c r="Q107" t="n">
        <v>5</v>
      </c>
      <c r="R107" s="2" t="inlineStr">
        <is>
          <t>Skogsalm
Krusfrö
Korallrot
Lundbräsma
Fläcknycklar</t>
        </is>
      </c>
      <c r="S107">
        <f>HYPERLINK("https://klasma.github.io/Logging_1496/artfynd/A 13848-2021 artfynd.xlsx", "A 13848-2021")</f>
        <v/>
      </c>
      <c r="T107">
        <f>HYPERLINK("https://klasma.github.io/Logging_1496/kartor/A 13848-2021 karta.png", "A 13848-2021")</f>
        <v/>
      </c>
      <c r="V107">
        <f>HYPERLINK("https://klasma.github.io/Logging_1496/klagomål/A 13848-2021 FSC-klagomål.docx", "A 13848-2021")</f>
        <v/>
      </c>
      <c r="W107">
        <f>HYPERLINK("https://klasma.github.io/Logging_1496/klagomålsmail/A 13848-2021 FSC-klagomål mail.docx", "A 13848-2021")</f>
        <v/>
      </c>
      <c r="X107">
        <f>HYPERLINK("https://klasma.github.io/Logging_1496/tillsyn/A 13848-2021 tillsynsbegäran.docx", "A 13848-2021")</f>
        <v/>
      </c>
      <c r="Y107">
        <f>HYPERLINK("https://klasma.github.io/Logging_1496/tillsynsmail/A 13848-2021 tillsynsbegäran mail.docx", "A 13848-2021")</f>
        <v/>
      </c>
    </row>
    <row r="108" ht="15" customHeight="1">
      <c r="A108" t="inlineStr">
        <is>
          <t>A 22468-2021</t>
        </is>
      </c>
      <c r="B108" s="1" t="n">
        <v>44326</v>
      </c>
      <c r="C108" s="1" t="n">
        <v>45586</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35998-2021</t>
        </is>
      </c>
      <c r="B109" s="1" t="n">
        <v>44385</v>
      </c>
      <c r="C109" s="1" t="n">
        <v>45586</v>
      </c>
      <c r="D109" t="inlineStr">
        <is>
          <t>VÄSTRA GÖTALANDS LÄN</t>
        </is>
      </c>
      <c r="E109" t="inlineStr">
        <is>
          <t>SKÖVDE</t>
        </is>
      </c>
      <c r="F109" t="inlineStr">
        <is>
          <t>Kommuner</t>
        </is>
      </c>
      <c r="G109" t="n">
        <v>8.300000000000001</v>
      </c>
      <c r="H109" t="n">
        <v>0</v>
      </c>
      <c r="I109" t="n">
        <v>2</v>
      </c>
      <c r="J109" t="n">
        <v>2</v>
      </c>
      <c r="K109" t="n">
        <v>1</v>
      </c>
      <c r="L109" t="n">
        <v>0</v>
      </c>
      <c r="M109" t="n">
        <v>0</v>
      </c>
      <c r="N109" t="n">
        <v>0</v>
      </c>
      <c r="O109" t="n">
        <v>3</v>
      </c>
      <c r="P109" t="n">
        <v>1</v>
      </c>
      <c r="Q109" t="n">
        <v>5</v>
      </c>
      <c r="R109" s="2" t="inlineStr">
        <is>
          <t>Colydium elongatum
Gulbandad brunbagge
Platt gångbagge
Dorcatoma dresdensis
Vanlig flatbagge</t>
        </is>
      </c>
      <c r="S109">
        <f>HYPERLINK("https://klasma.github.io/Logging_1496/artfynd/A 35998-2021 artfynd.xlsx", "A 35998-2021")</f>
        <v/>
      </c>
      <c r="T109">
        <f>HYPERLINK("https://klasma.github.io/Logging_1496/kartor/A 35998-2021 karta.png", "A 35998-2021")</f>
        <v/>
      </c>
      <c r="V109">
        <f>HYPERLINK("https://klasma.github.io/Logging_1496/klagomål/A 35998-2021 FSC-klagomål.docx", "A 35998-2021")</f>
        <v/>
      </c>
      <c r="W109">
        <f>HYPERLINK("https://klasma.github.io/Logging_1496/klagomålsmail/A 35998-2021 FSC-klagomål mail.docx", "A 35998-2021")</f>
        <v/>
      </c>
      <c r="X109">
        <f>HYPERLINK("https://klasma.github.io/Logging_1496/tillsyn/A 35998-2021 tillsynsbegäran.docx", "A 35998-2021")</f>
        <v/>
      </c>
      <c r="Y109">
        <f>HYPERLINK("https://klasma.github.io/Logging_1496/tillsynsmail/A 35998-2021 tillsynsbegäran mail.docx", "A 35998-2021")</f>
        <v/>
      </c>
    </row>
    <row r="110" ht="15" customHeight="1">
      <c r="A110" t="inlineStr">
        <is>
          <t>A 45174-2021</t>
        </is>
      </c>
      <c r="B110" s="1" t="n">
        <v>44439</v>
      </c>
      <c r="C110" s="1" t="n">
        <v>45586</v>
      </c>
      <c r="D110" t="inlineStr">
        <is>
          <t>VÄSTRA GÖTALANDS LÄN</t>
        </is>
      </c>
      <c r="E110" t="inlineStr">
        <is>
          <t>MARK</t>
        </is>
      </c>
      <c r="G110" t="n">
        <v>2.4</v>
      </c>
      <c r="H110" t="n">
        <v>1</v>
      </c>
      <c r="I110" t="n">
        <v>2</v>
      </c>
      <c r="J110" t="n">
        <v>0</v>
      </c>
      <c r="K110" t="n">
        <v>1</v>
      </c>
      <c r="L110" t="n">
        <v>1</v>
      </c>
      <c r="M110" t="n">
        <v>1</v>
      </c>
      <c r="N110" t="n">
        <v>0</v>
      </c>
      <c r="O110" t="n">
        <v>3</v>
      </c>
      <c r="P110" t="n">
        <v>3</v>
      </c>
      <c r="Q110" t="n">
        <v>5</v>
      </c>
      <c r="R110" s="2" t="inlineStr">
        <is>
          <t>Skogsalm
Ask
Läderbagge
Guldlockmossa
Platt fjädermossa</t>
        </is>
      </c>
      <c r="S110">
        <f>HYPERLINK("https://klasma.github.io/Logging_1463/artfynd/A 45174-2021 artfynd.xlsx", "A 45174-2021")</f>
        <v/>
      </c>
      <c r="T110">
        <f>HYPERLINK("https://klasma.github.io/Logging_1463/kartor/A 45174-2021 karta.png", "A 45174-2021")</f>
        <v/>
      </c>
      <c r="V110">
        <f>HYPERLINK("https://klasma.github.io/Logging_1463/klagomål/A 45174-2021 FSC-klagomål.docx", "A 45174-2021")</f>
        <v/>
      </c>
      <c r="W110">
        <f>HYPERLINK("https://klasma.github.io/Logging_1463/klagomålsmail/A 45174-2021 FSC-klagomål mail.docx", "A 45174-2021")</f>
        <v/>
      </c>
      <c r="X110">
        <f>HYPERLINK("https://klasma.github.io/Logging_1463/tillsyn/A 45174-2021 tillsynsbegäran.docx", "A 45174-2021")</f>
        <v/>
      </c>
      <c r="Y110">
        <f>HYPERLINK("https://klasma.github.io/Logging_1463/tillsynsmail/A 45174-2021 tillsynsbegäran mail.docx", "A 45174-2021")</f>
        <v/>
      </c>
    </row>
    <row r="111" ht="15" customHeight="1">
      <c r="A111" t="inlineStr">
        <is>
          <t>A 55776-2021</t>
        </is>
      </c>
      <c r="B111" s="1" t="n">
        <v>44476</v>
      </c>
      <c r="C111" s="1" t="n">
        <v>45586</v>
      </c>
      <c r="D111" t="inlineStr">
        <is>
          <t>VÄSTRA GÖTALANDS LÄN</t>
        </is>
      </c>
      <c r="E111" t="inlineStr">
        <is>
          <t>ORUST</t>
        </is>
      </c>
      <c r="G111" t="n">
        <v>4</v>
      </c>
      <c r="H111" t="n">
        <v>1</v>
      </c>
      <c r="I111" t="n">
        <v>4</v>
      </c>
      <c r="J111" t="n">
        <v>0</v>
      </c>
      <c r="K111" t="n">
        <v>1</v>
      </c>
      <c r="L111" t="n">
        <v>0</v>
      </c>
      <c r="M111" t="n">
        <v>0</v>
      </c>
      <c r="N111" t="n">
        <v>0</v>
      </c>
      <c r="O111" t="n">
        <v>1</v>
      </c>
      <c r="P111" t="n">
        <v>1</v>
      </c>
      <c r="Q111" t="n">
        <v>5</v>
      </c>
      <c r="R111" s="2" t="inlineStr">
        <is>
          <t>Knärot
Blåmossa
Purpurmylia
Stor revmossa
Västlig hakmossa</t>
        </is>
      </c>
      <c r="S111">
        <f>HYPERLINK("https://klasma.github.io/Logging_1421/artfynd/A 55776-2021 artfynd.xlsx", "A 55776-2021")</f>
        <v/>
      </c>
      <c r="T111">
        <f>HYPERLINK("https://klasma.github.io/Logging_1421/kartor/A 55776-2021 karta.png", "A 55776-2021")</f>
        <v/>
      </c>
      <c r="U111">
        <f>HYPERLINK("https://klasma.github.io/Logging_1421/knärot/A 55776-2021 karta knärot.png", "A 55776-2021")</f>
        <v/>
      </c>
      <c r="V111">
        <f>HYPERLINK("https://klasma.github.io/Logging_1421/klagomål/A 55776-2021 FSC-klagomål.docx", "A 55776-2021")</f>
        <v/>
      </c>
      <c r="W111">
        <f>HYPERLINK("https://klasma.github.io/Logging_1421/klagomålsmail/A 55776-2021 FSC-klagomål mail.docx", "A 55776-2021")</f>
        <v/>
      </c>
      <c r="X111">
        <f>HYPERLINK("https://klasma.github.io/Logging_1421/tillsyn/A 55776-2021 tillsynsbegäran.docx", "A 55776-2021")</f>
        <v/>
      </c>
      <c r="Y111">
        <f>HYPERLINK("https://klasma.github.io/Logging_1421/tillsynsmail/A 55776-2021 tillsynsbegäran mail.docx", "A 55776-2021")</f>
        <v/>
      </c>
    </row>
    <row r="112" ht="15" customHeight="1">
      <c r="A112" t="inlineStr">
        <is>
          <t>A 72685-2021</t>
        </is>
      </c>
      <c r="B112" s="1" t="n">
        <v>44546</v>
      </c>
      <c r="C112" s="1" t="n">
        <v>45586</v>
      </c>
      <c r="D112" t="inlineStr">
        <is>
          <t>VÄSTRA GÖTALANDS LÄN</t>
        </is>
      </c>
      <c r="E112" t="inlineStr">
        <is>
          <t>SKÖVDE</t>
        </is>
      </c>
      <c r="F112" t="inlineStr">
        <is>
          <t>Kommuner</t>
        </is>
      </c>
      <c r="G112" t="n">
        <v>12</v>
      </c>
      <c r="H112" t="n">
        <v>3</v>
      </c>
      <c r="I112" t="n">
        <v>2</v>
      </c>
      <c r="J112" t="n">
        <v>2</v>
      </c>
      <c r="K112" t="n">
        <v>0</v>
      </c>
      <c r="L112" t="n">
        <v>0</v>
      </c>
      <c r="M112" t="n">
        <v>0</v>
      </c>
      <c r="N112" t="n">
        <v>0</v>
      </c>
      <c r="O112" t="n">
        <v>2</v>
      </c>
      <c r="P112" t="n">
        <v>0</v>
      </c>
      <c r="Q112" t="n">
        <v>5</v>
      </c>
      <c r="R112" s="2" t="inlineStr">
        <is>
          <t>Borsttåg
Drillsnäppa
Kamtuffmossa
Tvåblad
Kopparödla</t>
        </is>
      </c>
      <c r="S112">
        <f>HYPERLINK("https://klasma.github.io/Logging_1496/artfynd/A 72685-2021 artfynd.xlsx", "A 72685-2021")</f>
        <v/>
      </c>
      <c r="T112">
        <f>HYPERLINK("https://klasma.github.io/Logging_1496/kartor/A 72685-2021 karta.png", "A 72685-2021")</f>
        <v/>
      </c>
      <c r="V112">
        <f>HYPERLINK("https://klasma.github.io/Logging_1496/klagomål/A 72685-2021 FSC-klagomål.docx", "A 72685-2021")</f>
        <v/>
      </c>
      <c r="W112">
        <f>HYPERLINK("https://klasma.github.io/Logging_1496/klagomålsmail/A 72685-2021 FSC-klagomål mail.docx", "A 72685-2021")</f>
        <v/>
      </c>
      <c r="X112">
        <f>HYPERLINK("https://klasma.github.io/Logging_1496/tillsyn/A 72685-2021 tillsynsbegäran.docx", "A 72685-2021")</f>
        <v/>
      </c>
      <c r="Y112">
        <f>HYPERLINK("https://klasma.github.io/Logging_1496/tillsynsmail/A 72685-2021 tillsynsbegäran mail.docx", "A 72685-2021")</f>
        <v/>
      </c>
    </row>
    <row r="113" ht="15" customHeight="1">
      <c r="A113" t="inlineStr">
        <is>
          <t>A 2457-2022</t>
        </is>
      </c>
      <c r="B113" s="1" t="n">
        <v>44579</v>
      </c>
      <c r="C113" s="1" t="n">
        <v>45586</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2975-2022</t>
        </is>
      </c>
      <c r="B114" s="1" t="n">
        <v>44581</v>
      </c>
      <c r="C114" s="1" t="n">
        <v>45586</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412-2023</t>
        </is>
      </c>
      <c r="B115" s="1" t="n">
        <v>44929</v>
      </c>
      <c r="C115" s="1" t="n">
        <v>45586</v>
      </c>
      <c r="D115" t="inlineStr">
        <is>
          <t>VÄSTRA GÖTALANDS LÄN</t>
        </is>
      </c>
      <c r="E115" t="inlineStr">
        <is>
          <t>KARLSBORG</t>
        </is>
      </c>
      <c r="G115" t="n">
        <v>9.9</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3607-2023</t>
        </is>
      </c>
      <c r="B116" s="1" t="n">
        <v>44950</v>
      </c>
      <c r="C116" s="1" t="n">
        <v>45586</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12671-2023</t>
        </is>
      </c>
      <c r="B117" s="1" t="n">
        <v>45000</v>
      </c>
      <c r="C117" s="1" t="n">
        <v>45586</v>
      </c>
      <c r="D117" t="inlineStr">
        <is>
          <t>VÄSTRA GÖTALANDS LÄN</t>
        </is>
      </c>
      <c r="E117" t="inlineStr">
        <is>
          <t>TANUM</t>
        </is>
      </c>
      <c r="G117" t="n">
        <v>3.7</v>
      </c>
      <c r="H117" t="n">
        <v>4</v>
      </c>
      <c r="I117" t="n">
        <v>1</v>
      </c>
      <c r="J117" t="n">
        <v>3</v>
      </c>
      <c r="K117" t="n">
        <v>0</v>
      </c>
      <c r="L117" t="n">
        <v>0</v>
      </c>
      <c r="M117" t="n">
        <v>0</v>
      </c>
      <c r="N117" t="n">
        <v>0</v>
      </c>
      <c r="O117" t="n">
        <v>3</v>
      </c>
      <c r="P117" t="n">
        <v>0</v>
      </c>
      <c r="Q117" t="n">
        <v>5</v>
      </c>
      <c r="R117" s="2" t="inlineStr">
        <is>
          <t>Spillkråka
Talltita
Tretåig hackspett
Västlig hakmossa
Revlummer</t>
        </is>
      </c>
      <c r="S117">
        <f>HYPERLINK("https://klasma.github.io/Logging_1435/artfynd/A 12671-2023 artfynd.xlsx", "A 12671-2023")</f>
        <v/>
      </c>
      <c r="T117">
        <f>HYPERLINK("https://klasma.github.io/Logging_1435/kartor/A 12671-2023 karta.png", "A 12671-2023")</f>
        <v/>
      </c>
      <c r="V117">
        <f>HYPERLINK("https://klasma.github.io/Logging_1435/klagomål/A 12671-2023 FSC-klagomål.docx", "A 12671-2023")</f>
        <v/>
      </c>
      <c r="W117">
        <f>HYPERLINK("https://klasma.github.io/Logging_1435/klagomålsmail/A 12671-2023 FSC-klagomål mail.docx", "A 12671-2023")</f>
        <v/>
      </c>
      <c r="X117">
        <f>HYPERLINK("https://klasma.github.io/Logging_1435/tillsyn/A 12671-2023 tillsynsbegäran.docx", "A 12671-2023")</f>
        <v/>
      </c>
      <c r="Y117">
        <f>HYPERLINK("https://klasma.github.io/Logging_1435/tillsynsmail/A 12671-2023 tillsynsbegäran mail.docx", "A 12671-2023")</f>
        <v/>
      </c>
      <c r="Z117">
        <f>HYPERLINK("https://klasma.github.io/Logging_1435/fåglar/A 12671-2023 prioriterade fågelarter.docx", "A 12671-2023")</f>
        <v/>
      </c>
    </row>
    <row r="118" ht="15" customHeight="1">
      <c r="A118" t="inlineStr">
        <is>
          <t>A 28672-2023</t>
        </is>
      </c>
      <c r="B118" s="1" t="n">
        <v>45096</v>
      </c>
      <c r="C118" s="1" t="n">
        <v>45586</v>
      </c>
      <c r="D118" t="inlineStr">
        <is>
          <t>VÄSTRA GÖTALANDS LÄN</t>
        </is>
      </c>
      <c r="E118" t="inlineStr">
        <is>
          <t>UDDEVALLA</t>
        </is>
      </c>
      <c r="F118" t="inlineStr">
        <is>
          <t>Kyrkan</t>
        </is>
      </c>
      <c r="G118" t="n">
        <v>12.6</v>
      </c>
      <c r="H118" t="n">
        <v>1</v>
      </c>
      <c r="I118" t="n">
        <v>4</v>
      </c>
      <c r="J118" t="n">
        <v>1</v>
      </c>
      <c r="K118" t="n">
        <v>0</v>
      </c>
      <c r="L118" t="n">
        <v>0</v>
      </c>
      <c r="M118" t="n">
        <v>0</v>
      </c>
      <c r="N118" t="n">
        <v>0</v>
      </c>
      <c r="O118" t="n">
        <v>1</v>
      </c>
      <c r="P118" t="n">
        <v>0</v>
      </c>
      <c r="Q118" t="n">
        <v>5</v>
      </c>
      <c r="R118" s="2" t="inlineStr">
        <is>
          <t>Spillkråka
Fällmossa
Hasselticka
Klippfrullania
Västlig hakmossa</t>
        </is>
      </c>
      <c r="S118">
        <f>HYPERLINK("https://klasma.github.io/Logging_1485/artfynd/A 28672-2023 artfynd.xlsx", "A 28672-2023")</f>
        <v/>
      </c>
      <c r="T118">
        <f>HYPERLINK("https://klasma.github.io/Logging_1485/kartor/A 28672-2023 karta.png", "A 28672-2023")</f>
        <v/>
      </c>
      <c r="V118">
        <f>HYPERLINK("https://klasma.github.io/Logging_1485/klagomål/A 28672-2023 FSC-klagomål.docx", "A 28672-2023")</f>
        <v/>
      </c>
      <c r="W118">
        <f>HYPERLINK("https://klasma.github.io/Logging_1485/klagomålsmail/A 28672-2023 FSC-klagomål mail.docx", "A 28672-2023")</f>
        <v/>
      </c>
      <c r="X118">
        <f>HYPERLINK("https://klasma.github.io/Logging_1485/tillsyn/A 28672-2023 tillsynsbegäran.docx", "A 28672-2023")</f>
        <v/>
      </c>
      <c r="Y118">
        <f>HYPERLINK("https://klasma.github.io/Logging_1485/tillsynsmail/A 28672-2023 tillsynsbegäran mail.docx", "A 28672-2023")</f>
        <v/>
      </c>
      <c r="Z118">
        <f>HYPERLINK("https://klasma.github.io/Logging_1485/fåglar/A 28672-2023 prioriterade fågelarter.docx", "A 28672-2023")</f>
        <v/>
      </c>
    </row>
    <row r="119" ht="15" customHeight="1">
      <c r="A119" t="inlineStr">
        <is>
          <t>A 27703-2023</t>
        </is>
      </c>
      <c r="B119" s="1" t="n">
        <v>45098</v>
      </c>
      <c r="C119" s="1" t="n">
        <v>45586</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45158-2023</t>
        </is>
      </c>
      <c r="B120" s="1" t="n">
        <v>45191</v>
      </c>
      <c r="C120" s="1" t="n">
        <v>45586</v>
      </c>
      <c r="D120" t="inlineStr">
        <is>
          <t>VÄSTRA GÖTALANDS LÄN</t>
        </is>
      </c>
      <c r="E120" t="inlineStr">
        <is>
          <t>TÖREBODA</t>
        </is>
      </c>
      <c r="G120" t="n">
        <v>3.1</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45416-2023</t>
        </is>
      </c>
      <c r="B121" s="1" t="n">
        <v>45194</v>
      </c>
      <c r="C121" s="1" t="n">
        <v>45586</v>
      </c>
      <c r="D121" t="inlineStr">
        <is>
          <t>VÄSTRA GÖTALANDS LÄN</t>
        </is>
      </c>
      <c r="E121" t="inlineStr">
        <is>
          <t>DALS-ED</t>
        </is>
      </c>
      <c r="G121" t="n">
        <v>6.3</v>
      </c>
      <c r="H121" t="n">
        <v>0</v>
      </c>
      <c r="I121" t="n">
        <v>2</v>
      </c>
      <c r="J121" t="n">
        <v>1</v>
      </c>
      <c r="K121" t="n">
        <v>1</v>
      </c>
      <c r="L121" t="n">
        <v>1</v>
      </c>
      <c r="M121" t="n">
        <v>0</v>
      </c>
      <c r="N121" t="n">
        <v>0</v>
      </c>
      <c r="O121" t="n">
        <v>3</v>
      </c>
      <c r="P121" t="n">
        <v>2</v>
      </c>
      <c r="Q121" t="n">
        <v>5</v>
      </c>
      <c r="R121" s="2" t="inlineStr">
        <is>
          <t>Blylav
Västlig njurlav
Lunglav
Bårdlav
Korallblylav</t>
        </is>
      </c>
      <c r="S121">
        <f>HYPERLINK("https://klasma.github.io/Logging_1438/artfynd/A 45416-2023 artfynd.xlsx", "A 45416-2023")</f>
        <v/>
      </c>
      <c r="T121">
        <f>HYPERLINK("https://klasma.github.io/Logging_1438/kartor/A 45416-2023 karta.png", "A 45416-2023")</f>
        <v/>
      </c>
      <c r="V121">
        <f>HYPERLINK("https://klasma.github.io/Logging_1438/klagomål/A 45416-2023 FSC-klagomål.docx", "A 45416-2023")</f>
        <v/>
      </c>
      <c r="W121">
        <f>HYPERLINK("https://klasma.github.io/Logging_1438/klagomålsmail/A 45416-2023 FSC-klagomål mail.docx", "A 45416-2023")</f>
        <v/>
      </c>
      <c r="X121">
        <f>HYPERLINK("https://klasma.github.io/Logging_1438/tillsyn/A 45416-2023 tillsynsbegäran.docx", "A 45416-2023")</f>
        <v/>
      </c>
      <c r="Y121">
        <f>HYPERLINK("https://klasma.github.io/Logging_1438/tillsynsmail/A 45416-2023 tillsynsbegäran mail.docx", "A 45416-2023")</f>
        <v/>
      </c>
    </row>
    <row r="122" ht="15" customHeight="1">
      <c r="A122" t="inlineStr">
        <is>
          <t>A 51547-2023</t>
        </is>
      </c>
      <c r="B122" s="1" t="n">
        <v>45222</v>
      </c>
      <c r="C122" s="1" t="n">
        <v>45586</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56530-2023</t>
        </is>
      </c>
      <c r="B123" s="1" t="n">
        <v>45243</v>
      </c>
      <c r="C123" s="1" t="n">
        <v>45586</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563-2024</t>
        </is>
      </c>
      <c r="B124" s="1" t="n">
        <v>45299</v>
      </c>
      <c r="C124" s="1" t="n">
        <v>45586</v>
      </c>
      <c r="D124" t="inlineStr">
        <is>
          <t>VÄSTRA GÖTALANDS LÄN</t>
        </is>
      </c>
      <c r="E124" t="inlineStr">
        <is>
          <t>ALE</t>
        </is>
      </c>
      <c r="F124" t="inlineStr">
        <is>
          <t>Kyrkan</t>
        </is>
      </c>
      <c r="G124" t="n">
        <v>26</v>
      </c>
      <c r="H124" t="n">
        <v>3</v>
      </c>
      <c r="I124" t="n">
        <v>1</v>
      </c>
      <c r="J124" t="n">
        <v>3</v>
      </c>
      <c r="K124" t="n">
        <v>0</v>
      </c>
      <c r="L124" t="n">
        <v>0</v>
      </c>
      <c r="M124" t="n">
        <v>0</v>
      </c>
      <c r="N124" t="n">
        <v>0</v>
      </c>
      <c r="O124" t="n">
        <v>3</v>
      </c>
      <c r="P124" t="n">
        <v>0</v>
      </c>
      <c r="Q124" t="n">
        <v>5</v>
      </c>
      <c r="R124" s="2" t="inlineStr">
        <is>
          <t>Kortskaftad ärgspik
Spillkråka
Talltita
Björksplintborre
Tjäder</t>
        </is>
      </c>
      <c r="S124">
        <f>HYPERLINK("https://klasma.github.io/Logging_1440/artfynd/A 563-2024 artfynd.xlsx", "A 563-2024")</f>
        <v/>
      </c>
      <c r="T124">
        <f>HYPERLINK("https://klasma.github.io/Logging_1440/kartor/A 563-2024 karta.png", "A 563-2024")</f>
        <v/>
      </c>
      <c r="V124">
        <f>HYPERLINK("https://klasma.github.io/Logging_1440/klagomål/A 563-2024 FSC-klagomål.docx", "A 563-2024")</f>
        <v/>
      </c>
      <c r="W124">
        <f>HYPERLINK("https://klasma.github.io/Logging_1440/klagomålsmail/A 563-2024 FSC-klagomål mail.docx", "A 563-2024")</f>
        <v/>
      </c>
      <c r="X124">
        <f>HYPERLINK("https://klasma.github.io/Logging_1440/tillsyn/A 563-2024 tillsynsbegäran.docx", "A 563-2024")</f>
        <v/>
      </c>
      <c r="Y124">
        <f>HYPERLINK("https://klasma.github.io/Logging_1440/tillsynsmail/A 563-2024 tillsynsbegäran mail.docx", "A 563-2024")</f>
        <v/>
      </c>
      <c r="Z124">
        <f>HYPERLINK("https://klasma.github.io/Logging_1440/fåglar/A 563-2024 prioriterade fågelarter.docx", "A 563-2024")</f>
        <v/>
      </c>
    </row>
    <row r="125" ht="15" customHeight="1">
      <c r="A125" t="inlineStr">
        <is>
          <t>A 7903-2024</t>
        </is>
      </c>
      <c r="B125" s="1" t="n">
        <v>45350</v>
      </c>
      <c r="C125" s="1" t="n">
        <v>45586</v>
      </c>
      <c r="D125" t="inlineStr">
        <is>
          <t>VÄSTRA GÖTALANDS LÄN</t>
        </is>
      </c>
      <c r="E125" t="inlineStr">
        <is>
          <t>ALE</t>
        </is>
      </c>
      <c r="G125" t="n">
        <v>5.2</v>
      </c>
      <c r="H125" t="n">
        <v>4</v>
      </c>
      <c r="I125" t="n">
        <v>1</v>
      </c>
      <c r="J125" t="n">
        <v>3</v>
      </c>
      <c r="K125" t="n">
        <v>0</v>
      </c>
      <c r="L125" t="n">
        <v>0</v>
      </c>
      <c r="M125" t="n">
        <v>0</v>
      </c>
      <c r="N125" t="n">
        <v>0</v>
      </c>
      <c r="O125" t="n">
        <v>3</v>
      </c>
      <c r="P125" t="n">
        <v>0</v>
      </c>
      <c r="Q125" t="n">
        <v>5</v>
      </c>
      <c r="R125" s="2" t="inlineStr">
        <is>
          <t>Entita
Spillkråka
Talltita
Björksplintborre
Kungsfågel</t>
        </is>
      </c>
      <c r="S125">
        <f>HYPERLINK("https://klasma.github.io/Logging_1440/artfynd/A 7903-2024 artfynd.xlsx", "A 7903-2024")</f>
        <v/>
      </c>
      <c r="T125">
        <f>HYPERLINK("https://klasma.github.io/Logging_1440/kartor/A 7903-2024 karta.png", "A 7903-2024")</f>
        <v/>
      </c>
      <c r="V125">
        <f>HYPERLINK("https://klasma.github.io/Logging_1440/klagomål/A 7903-2024 FSC-klagomål.docx", "A 7903-2024")</f>
        <v/>
      </c>
      <c r="W125">
        <f>HYPERLINK("https://klasma.github.io/Logging_1440/klagomålsmail/A 7903-2024 FSC-klagomål mail.docx", "A 7903-2024")</f>
        <v/>
      </c>
      <c r="X125">
        <f>HYPERLINK("https://klasma.github.io/Logging_1440/tillsyn/A 7903-2024 tillsynsbegäran.docx", "A 7903-2024")</f>
        <v/>
      </c>
      <c r="Y125">
        <f>HYPERLINK("https://klasma.github.io/Logging_1440/tillsynsmail/A 7903-2024 tillsynsbegäran mail.docx", "A 7903-2024")</f>
        <v/>
      </c>
      <c r="Z125">
        <f>HYPERLINK("https://klasma.github.io/Logging_1440/fåglar/A 7903-2024 prioriterade fågelarter.docx", "A 7903-2024")</f>
        <v/>
      </c>
    </row>
    <row r="126" ht="15" customHeight="1">
      <c r="A126" t="inlineStr">
        <is>
          <t>A 12131-2024</t>
        </is>
      </c>
      <c r="B126" s="1" t="n">
        <v>45377</v>
      </c>
      <c r="C126" s="1" t="n">
        <v>45586</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12116-2024</t>
        </is>
      </c>
      <c r="B127" s="1" t="n">
        <v>45377</v>
      </c>
      <c r="C127" s="1" t="n">
        <v>45586</v>
      </c>
      <c r="D127" t="inlineStr">
        <is>
          <t>VÄSTRA GÖTALANDS LÄN</t>
        </is>
      </c>
      <c r="E127" t="inlineStr">
        <is>
          <t>MARIESTAD</t>
        </is>
      </c>
      <c r="G127" t="n">
        <v>5.6</v>
      </c>
      <c r="H127" t="n">
        <v>1</v>
      </c>
      <c r="I127" t="n">
        <v>3</v>
      </c>
      <c r="J127" t="n">
        <v>0</v>
      </c>
      <c r="K127" t="n">
        <v>2</v>
      </c>
      <c r="L127" t="n">
        <v>0</v>
      </c>
      <c r="M127" t="n">
        <v>0</v>
      </c>
      <c r="N127" t="n">
        <v>0</v>
      </c>
      <c r="O127" t="n">
        <v>2</v>
      </c>
      <c r="P127" t="n">
        <v>2</v>
      </c>
      <c r="Q127" t="n">
        <v>5</v>
      </c>
      <c r="R127" s="2" t="inlineStr">
        <is>
          <t>Färgginst
Knärot
Grönpyrola
Kattfotslav
Kornknutmossa</t>
        </is>
      </c>
      <c r="S127">
        <f>HYPERLINK("https://klasma.github.io/Logging_1493/artfynd/A 12116-2024 artfynd.xlsx", "A 12116-2024")</f>
        <v/>
      </c>
      <c r="T127">
        <f>HYPERLINK("https://klasma.github.io/Logging_1493/kartor/A 12116-2024 karta.png", "A 12116-2024")</f>
        <v/>
      </c>
      <c r="U127">
        <f>HYPERLINK("https://klasma.github.io/Logging_1493/knärot/A 12116-2024 karta knärot.png", "A 12116-2024")</f>
        <v/>
      </c>
      <c r="V127">
        <f>HYPERLINK("https://klasma.github.io/Logging_1493/klagomål/A 12116-2024 FSC-klagomål.docx", "A 12116-2024")</f>
        <v/>
      </c>
      <c r="W127">
        <f>HYPERLINK("https://klasma.github.io/Logging_1493/klagomålsmail/A 12116-2024 FSC-klagomål mail.docx", "A 12116-2024")</f>
        <v/>
      </c>
      <c r="X127">
        <f>HYPERLINK("https://klasma.github.io/Logging_1493/tillsyn/A 12116-2024 tillsynsbegäran.docx", "A 12116-2024")</f>
        <v/>
      </c>
      <c r="Y127">
        <f>HYPERLINK("https://klasma.github.io/Logging_1493/tillsynsmail/A 12116-2024 tillsynsbegäran mail.docx", "A 12116-2024")</f>
        <v/>
      </c>
    </row>
    <row r="128" ht="15" customHeight="1">
      <c r="A128" t="inlineStr">
        <is>
          <t>A 19176-2024</t>
        </is>
      </c>
      <c r="B128" s="1" t="n">
        <v>45428</v>
      </c>
      <c r="C128" s="1" t="n">
        <v>45586</v>
      </c>
      <c r="D128" t="inlineStr">
        <is>
          <t>VÄSTRA GÖTALANDS LÄN</t>
        </is>
      </c>
      <c r="E128" t="inlineStr">
        <is>
          <t>SKÖVDE</t>
        </is>
      </c>
      <c r="G128" t="n">
        <v>0.6</v>
      </c>
      <c r="H128" t="n">
        <v>0</v>
      </c>
      <c r="I128" t="n">
        <v>4</v>
      </c>
      <c r="J128" t="n">
        <v>1</v>
      </c>
      <c r="K128" t="n">
        <v>0</v>
      </c>
      <c r="L128" t="n">
        <v>0</v>
      </c>
      <c r="M128" t="n">
        <v>0</v>
      </c>
      <c r="N128" t="n">
        <v>0</v>
      </c>
      <c r="O128" t="n">
        <v>1</v>
      </c>
      <c r="P128" t="n">
        <v>0</v>
      </c>
      <c r="Q128" t="n">
        <v>5</v>
      </c>
      <c r="R128" s="2" t="inlineStr">
        <is>
          <t>Persiljespindling
Barrfagerspindling
Kryddspindling
Strimspindling
Toppvaxskivling</t>
        </is>
      </c>
      <c r="S128">
        <f>HYPERLINK("https://klasma.github.io/Logging_1496/artfynd/A 19176-2024 artfynd.xlsx", "A 19176-2024")</f>
        <v/>
      </c>
      <c r="T128">
        <f>HYPERLINK("https://klasma.github.io/Logging_1496/kartor/A 19176-2024 karta.png", "A 19176-2024")</f>
        <v/>
      </c>
      <c r="V128">
        <f>HYPERLINK("https://klasma.github.io/Logging_1496/klagomål/A 19176-2024 FSC-klagomål.docx", "A 19176-2024")</f>
        <v/>
      </c>
      <c r="W128">
        <f>HYPERLINK("https://klasma.github.io/Logging_1496/klagomålsmail/A 19176-2024 FSC-klagomål mail.docx", "A 19176-2024")</f>
        <v/>
      </c>
      <c r="X128">
        <f>HYPERLINK("https://klasma.github.io/Logging_1496/tillsyn/A 19176-2024 tillsynsbegäran.docx", "A 19176-2024")</f>
        <v/>
      </c>
      <c r="Y128">
        <f>HYPERLINK("https://klasma.github.io/Logging_1496/tillsynsmail/A 19176-2024 tillsynsbegäran mail.docx", "A 19176-2024")</f>
        <v/>
      </c>
    </row>
    <row r="129" ht="15" customHeight="1">
      <c r="A129" t="inlineStr">
        <is>
          <t>A 23584-2024</t>
        </is>
      </c>
      <c r="B129" s="1" t="n">
        <v>45454</v>
      </c>
      <c r="C129" s="1" t="n">
        <v>45586</v>
      </c>
      <c r="D129" t="inlineStr">
        <is>
          <t>VÄSTRA GÖTALANDS LÄN</t>
        </is>
      </c>
      <c r="E129" t="inlineStr">
        <is>
          <t>ALINGSÅS</t>
        </is>
      </c>
      <c r="G129" t="n">
        <v>8.4</v>
      </c>
      <c r="H129" t="n">
        <v>3</v>
      </c>
      <c r="I129" t="n">
        <v>0</v>
      </c>
      <c r="J129" t="n">
        <v>4</v>
      </c>
      <c r="K129" t="n">
        <v>0</v>
      </c>
      <c r="L129" t="n">
        <v>0</v>
      </c>
      <c r="M129" t="n">
        <v>0</v>
      </c>
      <c r="N129" t="n">
        <v>0</v>
      </c>
      <c r="O129" t="n">
        <v>4</v>
      </c>
      <c r="P129" t="n">
        <v>0</v>
      </c>
      <c r="Q129" t="n">
        <v>5</v>
      </c>
      <c r="R129" s="2" t="inlineStr">
        <is>
          <t>Entita
Grönsångare
Mindre bastardsvärmare
Sexfläckig bastardsvärmare
Huggorm</t>
        </is>
      </c>
      <c r="S129">
        <f>HYPERLINK("https://klasma.github.io/Logging_1489/artfynd/A 23584-2024 artfynd.xlsx", "A 23584-2024")</f>
        <v/>
      </c>
      <c r="T129">
        <f>HYPERLINK("https://klasma.github.io/Logging_1489/kartor/A 23584-2024 karta.png", "A 23584-2024")</f>
        <v/>
      </c>
      <c r="V129">
        <f>HYPERLINK("https://klasma.github.io/Logging_1489/klagomål/A 23584-2024 FSC-klagomål.docx", "A 23584-2024")</f>
        <v/>
      </c>
      <c r="W129">
        <f>HYPERLINK("https://klasma.github.io/Logging_1489/klagomålsmail/A 23584-2024 FSC-klagomål mail.docx", "A 23584-2024")</f>
        <v/>
      </c>
      <c r="X129">
        <f>HYPERLINK("https://klasma.github.io/Logging_1489/tillsyn/A 23584-2024 tillsynsbegäran.docx", "A 23584-2024")</f>
        <v/>
      </c>
      <c r="Y129">
        <f>HYPERLINK("https://klasma.github.io/Logging_1489/tillsynsmail/A 23584-2024 tillsynsbegäran mail.docx", "A 23584-2024")</f>
        <v/>
      </c>
      <c r="Z129">
        <f>HYPERLINK("https://klasma.github.io/Logging_1489/fåglar/A 23584-2024 prioriterade fågelarter.docx", "A 23584-2024")</f>
        <v/>
      </c>
    </row>
    <row r="130" ht="15" customHeight="1">
      <c r="A130" t="inlineStr">
        <is>
          <t>A 40273-2024</t>
        </is>
      </c>
      <c r="B130" s="1" t="n">
        <v>45554</v>
      </c>
      <c r="C130" s="1" t="n">
        <v>45586</v>
      </c>
      <c r="D130" t="inlineStr">
        <is>
          <t>VÄSTRA GÖTALANDS LÄN</t>
        </is>
      </c>
      <c r="E130" t="inlineStr">
        <is>
          <t>ORUST</t>
        </is>
      </c>
      <c r="G130" t="n">
        <v>3.7</v>
      </c>
      <c r="H130" t="n">
        <v>0</v>
      </c>
      <c r="I130" t="n">
        <v>3</v>
      </c>
      <c r="J130" t="n">
        <v>1</v>
      </c>
      <c r="K130" t="n">
        <v>1</v>
      </c>
      <c r="L130" t="n">
        <v>0</v>
      </c>
      <c r="M130" t="n">
        <v>0</v>
      </c>
      <c r="N130" t="n">
        <v>0</v>
      </c>
      <c r="O130" t="n">
        <v>2</v>
      </c>
      <c r="P130" t="n">
        <v>1</v>
      </c>
      <c r="Q130" t="n">
        <v>5</v>
      </c>
      <c r="R130" s="2" t="inlineStr">
        <is>
          <t>Grangråticka
Garnlav
Fjällig taggsvamp s.str.
Svavelriska
Trådticka</t>
        </is>
      </c>
      <c r="S130">
        <f>HYPERLINK("https://klasma.github.io/Logging_1421/artfynd/A 40273-2024 artfynd.xlsx", "A 40273-2024")</f>
        <v/>
      </c>
      <c r="T130">
        <f>HYPERLINK("https://klasma.github.io/Logging_1421/kartor/A 40273-2024 karta.png", "A 40273-2024")</f>
        <v/>
      </c>
      <c r="V130">
        <f>HYPERLINK("https://klasma.github.io/Logging_1421/klagomål/A 40273-2024 FSC-klagomål.docx", "A 40273-2024")</f>
        <v/>
      </c>
      <c r="W130">
        <f>HYPERLINK("https://klasma.github.io/Logging_1421/klagomålsmail/A 40273-2024 FSC-klagomål mail.docx", "A 40273-2024")</f>
        <v/>
      </c>
      <c r="X130">
        <f>HYPERLINK("https://klasma.github.io/Logging_1421/tillsyn/A 40273-2024 tillsynsbegäran.docx", "A 40273-2024")</f>
        <v/>
      </c>
      <c r="Y130">
        <f>HYPERLINK("https://klasma.github.io/Logging_1421/tillsynsmail/A 40273-2024 tillsynsbegäran mail.docx", "A 40273-2024")</f>
        <v/>
      </c>
    </row>
    <row r="131" ht="15" customHeight="1">
      <c r="A131" t="inlineStr">
        <is>
          <t>A 25345-2019</t>
        </is>
      </c>
      <c r="B131" s="1" t="n">
        <v>43606</v>
      </c>
      <c r="C131" s="1" t="n">
        <v>45586</v>
      </c>
      <c r="D131" t="inlineStr">
        <is>
          <t>VÄSTRA GÖTALANDS LÄN</t>
        </is>
      </c>
      <c r="E131" t="inlineStr">
        <is>
          <t>HÄRRYDA</t>
        </is>
      </c>
      <c r="G131" t="n">
        <v>10.9</v>
      </c>
      <c r="H131" t="n">
        <v>2</v>
      </c>
      <c r="I131" t="n">
        <v>2</v>
      </c>
      <c r="J131" t="n">
        <v>0</v>
      </c>
      <c r="K131" t="n">
        <v>0</v>
      </c>
      <c r="L131" t="n">
        <v>0</v>
      </c>
      <c r="M131" t="n">
        <v>0</v>
      </c>
      <c r="N131" t="n">
        <v>0</v>
      </c>
      <c r="O131" t="n">
        <v>0</v>
      </c>
      <c r="P131" t="n">
        <v>0</v>
      </c>
      <c r="Q131" t="n">
        <v>4</v>
      </c>
      <c r="R131" s="2" t="inlineStr">
        <is>
          <t>Kattfotslav
Rostfläck
Kungsfågel
Revlummer</t>
        </is>
      </c>
      <c r="S131">
        <f>HYPERLINK("https://klasma.github.io/Logging_1401/artfynd/A 25345-2019 artfynd.xlsx", "A 25345-2019")</f>
        <v/>
      </c>
      <c r="T131">
        <f>HYPERLINK("https://klasma.github.io/Logging_1401/kartor/A 25345-2019 karta.png", "A 25345-2019")</f>
        <v/>
      </c>
      <c r="V131">
        <f>HYPERLINK("https://klasma.github.io/Logging_1401/klagomål/A 25345-2019 FSC-klagomål.docx", "A 25345-2019")</f>
        <v/>
      </c>
      <c r="W131">
        <f>HYPERLINK("https://klasma.github.io/Logging_1401/klagomålsmail/A 25345-2019 FSC-klagomål mail.docx", "A 25345-2019")</f>
        <v/>
      </c>
      <c r="X131">
        <f>HYPERLINK("https://klasma.github.io/Logging_1401/tillsyn/A 25345-2019 tillsynsbegäran.docx", "A 25345-2019")</f>
        <v/>
      </c>
      <c r="Y131">
        <f>HYPERLINK("https://klasma.github.io/Logging_1401/tillsynsmail/A 25345-2019 tillsynsbegäran mail.docx", "A 25345-2019")</f>
        <v/>
      </c>
      <c r="Z131">
        <f>HYPERLINK("https://klasma.github.io/Logging_1401/fåglar/A 25345-2019 prioriterade fågelarter.docx", "A 25345-2019")</f>
        <v/>
      </c>
    </row>
    <row r="132" ht="15" customHeight="1">
      <c r="A132" t="inlineStr">
        <is>
          <t>A 25385-2019</t>
        </is>
      </c>
      <c r="B132" s="1" t="n">
        <v>43606</v>
      </c>
      <c r="C132" s="1" t="n">
        <v>45586</v>
      </c>
      <c r="D132" t="inlineStr">
        <is>
          <t>VÄSTRA GÖTALANDS LÄN</t>
        </is>
      </c>
      <c r="E132" t="inlineStr">
        <is>
          <t>STENUNGSUND</t>
        </is>
      </c>
      <c r="G132" t="n">
        <v>12.5</v>
      </c>
      <c r="H132" t="n">
        <v>0</v>
      </c>
      <c r="I132" t="n">
        <v>3</v>
      </c>
      <c r="J132" t="n">
        <v>0</v>
      </c>
      <c r="K132" t="n">
        <v>0</v>
      </c>
      <c r="L132" t="n">
        <v>1</v>
      </c>
      <c r="M132" t="n">
        <v>0</v>
      </c>
      <c r="N132" t="n">
        <v>0</v>
      </c>
      <c r="O132" t="n">
        <v>1</v>
      </c>
      <c r="P132" t="n">
        <v>1</v>
      </c>
      <c r="Q132" t="n">
        <v>4</v>
      </c>
      <c r="R132" s="2" t="inlineStr">
        <is>
          <t>Ask
Klippfrullania
Trädporella
Västlig hakmossa</t>
        </is>
      </c>
      <c r="S132">
        <f>HYPERLINK("https://klasma.github.io/Logging_1415/artfynd/A 25385-2019 artfynd.xlsx", "A 25385-2019")</f>
        <v/>
      </c>
      <c r="T132">
        <f>HYPERLINK("https://klasma.github.io/Logging_1415/kartor/A 25385-2019 karta.png", "A 25385-2019")</f>
        <v/>
      </c>
      <c r="V132">
        <f>HYPERLINK("https://klasma.github.io/Logging_1415/klagomål/A 25385-2019 FSC-klagomål.docx", "A 25385-2019")</f>
        <v/>
      </c>
      <c r="W132">
        <f>HYPERLINK("https://klasma.github.io/Logging_1415/klagomålsmail/A 25385-2019 FSC-klagomål mail.docx", "A 25385-2019")</f>
        <v/>
      </c>
      <c r="X132">
        <f>HYPERLINK("https://klasma.github.io/Logging_1415/tillsyn/A 25385-2019 tillsynsbegäran.docx", "A 25385-2019")</f>
        <v/>
      </c>
      <c r="Y132">
        <f>HYPERLINK("https://klasma.github.io/Logging_1415/tillsynsmail/A 25385-2019 tillsynsbegäran mail.docx", "A 25385-2019")</f>
        <v/>
      </c>
    </row>
    <row r="133" ht="15" customHeight="1">
      <c r="A133" t="inlineStr">
        <is>
          <t>A 28474-2019</t>
        </is>
      </c>
      <c r="B133" s="1" t="n">
        <v>43626</v>
      </c>
      <c r="C133" s="1" t="n">
        <v>45586</v>
      </c>
      <c r="D133" t="inlineStr">
        <is>
          <t>VÄSTRA GÖTALANDS LÄN</t>
        </is>
      </c>
      <c r="E133" t="inlineStr">
        <is>
          <t>SKÖVDE</t>
        </is>
      </c>
      <c r="G133" t="n">
        <v>1.2</v>
      </c>
      <c r="H133" t="n">
        <v>0</v>
      </c>
      <c r="I133" t="n">
        <v>2</v>
      </c>
      <c r="J133" t="n">
        <v>2</v>
      </c>
      <c r="K133" t="n">
        <v>0</v>
      </c>
      <c r="L133" t="n">
        <v>0</v>
      </c>
      <c r="M133" t="n">
        <v>0</v>
      </c>
      <c r="N133" t="n">
        <v>0</v>
      </c>
      <c r="O133" t="n">
        <v>2</v>
      </c>
      <c r="P133" t="n">
        <v>0</v>
      </c>
      <c r="Q133" t="n">
        <v>4</v>
      </c>
      <c r="R133" s="2" t="inlineStr">
        <is>
          <t>Kungsspindling
Tårkragskivling
Diskvaxskivling
Grå vaxskivling</t>
        </is>
      </c>
      <c r="S133">
        <f>HYPERLINK("https://klasma.github.io/Logging_1496/artfynd/A 28474-2019 artfynd.xlsx", "A 28474-2019")</f>
        <v/>
      </c>
      <c r="T133">
        <f>HYPERLINK("https://klasma.github.io/Logging_1496/kartor/A 28474-2019 karta.png", "A 28474-2019")</f>
        <v/>
      </c>
      <c r="V133">
        <f>HYPERLINK("https://klasma.github.io/Logging_1496/klagomål/A 28474-2019 FSC-klagomål.docx", "A 28474-2019")</f>
        <v/>
      </c>
      <c r="W133">
        <f>HYPERLINK("https://klasma.github.io/Logging_1496/klagomålsmail/A 28474-2019 FSC-klagomål mail.docx", "A 28474-2019")</f>
        <v/>
      </c>
      <c r="X133">
        <f>HYPERLINK("https://klasma.github.io/Logging_1496/tillsyn/A 28474-2019 tillsynsbegäran.docx", "A 28474-2019")</f>
        <v/>
      </c>
      <c r="Y133">
        <f>HYPERLINK("https://klasma.github.io/Logging_1496/tillsynsmail/A 28474-2019 tillsynsbegäran mail.docx", "A 28474-2019")</f>
        <v/>
      </c>
    </row>
    <row r="134" ht="15" customHeight="1">
      <c r="A134" t="inlineStr">
        <is>
          <t>A 38001-2019</t>
        </is>
      </c>
      <c r="B134" s="1" t="n">
        <v>43683</v>
      </c>
      <c r="C134" s="1" t="n">
        <v>45586</v>
      </c>
      <c r="D134" t="inlineStr">
        <is>
          <t>VÄSTRA GÖTALANDS LÄN</t>
        </is>
      </c>
      <c r="E134" t="inlineStr">
        <is>
          <t>STRÖMSTAD</t>
        </is>
      </c>
      <c r="G134" t="n">
        <v>2</v>
      </c>
      <c r="H134" t="n">
        <v>2</v>
      </c>
      <c r="I134" t="n">
        <v>2</v>
      </c>
      <c r="J134" t="n">
        <v>0</v>
      </c>
      <c r="K134" t="n">
        <v>0</v>
      </c>
      <c r="L134" t="n">
        <v>0</v>
      </c>
      <c r="M134" t="n">
        <v>0</v>
      </c>
      <c r="N134" t="n">
        <v>0</v>
      </c>
      <c r="O134" t="n">
        <v>0</v>
      </c>
      <c r="P134" t="n">
        <v>0</v>
      </c>
      <c r="Q134" t="n">
        <v>4</v>
      </c>
      <c r="R134" s="2" t="inlineStr">
        <is>
          <t>Blåmossa
Havstulpanlav
Mattlummer
Revlummer</t>
        </is>
      </c>
      <c r="S134">
        <f>HYPERLINK("https://klasma.github.io/Logging_1486/artfynd/A 38001-2019 artfynd.xlsx", "A 38001-2019")</f>
        <v/>
      </c>
      <c r="T134">
        <f>HYPERLINK("https://klasma.github.io/Logging_1486/kartor/A 38001-2019 karta.png", "A 38001-2019")</f>
        <v/>
      </c>
      <c r="V134">
        <f>HYPERLINK("https://klasma.github.io/Logging_1486/klagomål/A 38001-2019 FSC-klagomål.docx", "A 38001-2019")</f>
        <v/>
      </c>
      <c r="W134">
        <f>HYPERLINK("https://klasma.github.io/Logging_1486/klagomålsmail/A 38001-2019 FSC-klagomål mail.docx", "A 38001-2019")</f>
        <v/>
      </c>
      <c r="X134">
        <f>HYPERLINK("https://klasma.github.io/Logging_1486/tillsyn/A 38001-2019 tillsynsbegäran.docx", "A 38001-2019")</f>
        <v/>
      </c>
      <c r="Y134">
        <f>HYPERLINK("https://klasma.github.io/Logging_1486/tillsynsmail/A 38001-2019 tillsynsbegäran mail.docx", "A 38001-2019")</f>
        <v/>
      </c>
    </row>
    <row r="135" ht="15" customHeight="1">
      <c r="A135" t="inlineStr">
        <is>
          <t>A 42309-2019</t>
        </is>
      </c>
      <c r="B135" s="1" t="n">
        <v>43698</v>
      </c>
      <c r="C135" s="1" t="n">
        <v>45586</v>
      </c>
      <c r="D135" t="inlineStr">
        <is>
          <t>VÄSTRA GÖTALANDS LÄN</t>
        </is>
      </c>
      <c r="E135" t="inlineStr">
        <is>
          <t>TANUM</t>
        </is>
      </c>
      <c r="F135" t="inlineStr">
        <is>
          <t>Kyrkan</t>
        </is>
      </c>
      <c r="G135" t="n">
        <v>4.1</v>
      </c>
      <c r="H135" t="n">
        <v>2</v>
      </c>
      <c r="I135" t="n">
        <v>0</v>
      </c>
      <c r="J135" t="n">
        <v>4</v>
      </c>
      <c r="K135" t="n">
        <v>0</v>
      </c>
      <c r="L135" t="n">
        <v>0</v>
      </c>
      <c r="M135" t="n">
        <v>0</v>
      </c>
      <c r="N135" t="n">
        <v>0</v>
      </c>
      <c r="O135" t="n">
        <v>4</v>
      </c>
      <c r="P135" t="n">
        <v>0</v>
      </c>
      <c r="Q135" t="n">
        <v>4</v>
      </c>
      <c r="R135" s="2" t="inlineStr">
        <is>
          <t>Kilporing
Stenfalk
Tretåig hackspett
Vedskivlav</t>
        </is>
      </c>
      <c r="S135">
        <f>HYPERLINK("https://klasma.github.io/Logging_1435/artfynd/A 42309-2019 artfynd.xlsx", "A 42309-2019")</f>
        <v/>
      </c>
      <c r="T135">
        <f>HYPERLINK("https://klasma.github.io/Logging_1435/kartor/A 42309-2019 karta.png", "A 42309-2019")</f>
        <v/>
      </c>
      <c r="V135">
        <f>HYPERLINK("https://klasma.github.io/Logging_1435/klagomål/A 42309-2019 FSC-klagomål.docx", "A 42309-2019")</f>
        <v/>
      </c>
      <c r="W135">
        <f>HYPERLINK("https://klasma.github.io/Logging_1435/klagomålsmail/A 42309-2019 FSC-klagomål mail.docx", "A 42309-2019")</f>
        <v/>
      </c>
      <c r="X135">
        <f>HYPERLINK("https://klasma.github.io/Logging_1435/tillsyn/A 42309-2019 tillsynsbegäran.docx", "A 42309-2019")</f>
        <v/>
      </c>
      <c r="Y135">
        <f>HYPERLINK("https://klasma.github.io/Logging_1435/tillsynsmail/A 42309-2019 tillsynsbegäran mail.docx", "A 42309-2019")</f>
        <v/>
      </c>
      <c r="Z135">
        <f>HYPERLINK("https://klasma.github.io/Logging_1435/fåglar/A 42309-2019 prioriterade fågelarter.docx", "A 42309-2019")</f>
        <v/>
      </c>
    </row>
    <row r="136" ht="15" customHeight="1">
      <c r="A136" t="inlineStr">
        <is>
          <t>A 43448-2019</t>
        </is>
      </c>
      <c r="B136" s="1" t="n">
        <v>43703</v>
      </c>
      <c r="C136" s="1" t="n">
        <v>45586</v>
      </c>
      <c r="D136" t="inlineStr">
        <is>
          <t>VÄSTRA GÖTALANDS LÄN</t>
        </is>
      </c>
      <c r="E136" t="inlineStr">
        <is>
          <t>MELLERUD</t>
        </is>
      </c>
      <c r="F136" t="inlineStr">
        <is>
          <t>Övriga Aktiebolag</t>
        </is>
      </c>
      <c r="G136" t="n">
        <v>1.6</v>
      </c>
      <c r="H136" t="n">
        <v>0</v>
      </c>
      <c r="I136" t="n">
        <v>1</v>
      </c>
      <c r="J136" t="n">
        <v>1</v>
      </c>
      <c r="K136" t="n">
        <v>1</v>
      </c>
      <c r="L136" t="n">
        <v>1</v>
      </c>
      <c r="M136" t="n">
        <v>0</v>
      </c>
      <c r="N136" t="n">
        <v>0</v>
      </c>
      <c r="O136" t="n">
        <v>3</v>
      </c>
      <c r="P136" t="n">
        <v>2</v>
      </c>
      <c r="Q136" t="n">
        <v>4</v>
      </c>
      <c r="R136" s="2" t="inlineStr">
        <is>
          <t>Blylav
Västlig njurlav
Lunglav
Korallblylav</t>
        </is>
      </c>
      <c r="S136">
        <f>HYPERLINK("https://klasma.github.io/Logging_1461/artfynd/A 43448-2019 artfynd.xlsx", "A 43448-2019")</f>
        <v/>
      </c>
      <c r="T136">
        <f>HYPERLINK("https://klasma.github.io/Logging_1461/kartor/A 43448-2019 karta.png", "A 43448-2019")</f>
        <v/>
      </c>
      <c r="V136">
        <f>HYPERLINK("https://klasma.github.io/Logging_1461/klagomål/A 43448-2019 FSC-klagomål.docx", "A 43448-2019")</f>
        <v/>
      </c>
      <c r="W136">
        <f>HYPERLINK("https://klasma.github.io/Logging_1461/klagomålsmail/A 43448-2019 FSC-klagomål mail.docx", "A 43448-2019")</f>
        <v/>
      </c>
      <c r="X136">
        <f>HYPERLINK("https://klasma.github.io/Logging_1461/tillsyn/A 43448-2019 tillsynsbegäran.docx", "A 43448-2019")</f>
        <v/>
      </c>
      <c r="Y136">
        <f>HYPERLINK("https://klasma.github.io/Logging_1461/tillsynsmail/A 43448-2019 tillsynsbegäran mail.docx", "A 43448-2019")</f>
        <v/>
      </c>
    </row>
    <row r="137" ht="15" customHeight="1">
      <c r="A137" t="inlineStr">
        <is>
          <t>A 44500-2019</t>
        </is>
      </c>
      <c r="B137" s="1" t="n">
        <v>43711</v>
      </c>
      <c r="C137" s="1" t="n">
        <v>45586</v>
      </c>
      <c r="D137" t="inlineStr">
        <is>
          <t>VÄSTRA GÖTALANDS LÄN</t>
        </is>
      </c>
      <c r="E137" t="inlineStr">
        <is>
          <t>KARLSBORG</t>
        </is>
      </c>
      <c r="G137" t="n">
        <v>3.3</v>
      </c>
      <c r="H137" t="n">
        <v>3</v>
      </c>
      <c r="I137" t="n">
        <v>0</v>
      </c>
      <c r="J137" t="n">
        <v>2</v>
      </c>
      <c r="K137" t="n">
        <v>1</v>
      </c>
      <c r="L137" t="n">
        <v>0</v>
      </c>
      <c r="M137" t="n">
        <v>0</v>
      </c>
      <c r="N137" t="n">
        <v>0</v>
      </c>
      <c r="O137" t="n">
        <v>3</v>
      </c>
      <c r="P137" t="n">
        <v>1</v>
      </c>
      <c r="Q137" t="n">
        <v>4</v>
      </c>
      <c r="R137" s="2" t="inlineStr">
        <is>
          <t>Knärot
Tallticka
Tretåig hackspett
Mattlummer</t>
        </is>
      </c>
      <c r="S137">
        <f>HYPERLINK("https://klasma.github.io/Logging_1446/artfynd/A 44500-2019 artfynd.xlsx", "A 44500-2019")</f>
        <v/>
      </c>
      <c r="T137">
        <f>HYPERLINK("https://klasma.github.io/Logging_1446/kartor/A 44500-2019 karta.png", "A 44500-2019")</f>
        <v/>
      </c>
      <c r="U137">
        <f>HYPERLINK("https://klasma.github.io/Logging_1446/knärot/A 44500-2019 karta knärot.png", "A 44500-2019")</f>
        <v/>
      </c>
      <c r="V137">
        <f>HYPERLINK("https://klasma.github.io/Logging_1446/klagomål/A 44500-2019 FSC-klagomål.docx", "A 44500-2019")</f>
        <v/>
      </c>
      <c r="W137">
        <f>HYPERLINK("https://klasma.github.io/Logging_1446/klagomålsmail/A 44500-2019 FSC-klagomål mail.docx", "A 44500-2019")</f>
        <v/>
      </c>
      <c r="X137">
        <f>HYPERLINK("https://klasma.github.io/Logging_1446/tillsyn/A 44500-2019 tillsynsbegäran.docx", "A 44500-2019")</f>
        <v/>
      </c>
      <c r="Y137">
        <f>HYPERLINK("https://klasma.github.io/Logging_1446/tillsynsmail/A 44500-2019 tillsynsbegäran mail.docx", "A 44500-2019")</f>
        <v/>
      </c>
      <c r="Z137">
        <f>HYPERLINK("https://klasma.github.io/Logging_1446/fåglar/A 44500-2019 prioriterade fågelarter.docx", "A 44500-2019")</f>
        <v/>
      </c>
    </row>
    <row r="138" ht="15" customHeight="1">
      <c r="A138" t="inlineStr">
        <is>
          <t>A 65473-2019</t>
        </is>
      </c>
      <c r="B138" s="1" t="n">
        <v>43803</v>
      </c>
      <c r="C138" s="1" t="n">
        <v>45586</v>
      </c>
      <c r="D138" t="inlineStr">
        <is>
          <t>VÄSTRA GÖTALANDS LÄN</t>
        </is>
      </c>
      <c r="E138" t="inlineStr">
        <is>
          <t>KARLSBORG</t>
        </is>
      </c>
      <c r="G138" t="n">
        <v>4.3</v>
      </c>
      <c r="H138" t="n">
        <v>0</v>
      </c>
      <c r="I138" t="n">
        <v>1</v>
      </c>
      <c r="J138" t="n">
        <v>2</v>
      </c>
      <c r="K138" t="n">
        <v>1</v>
      </c>
      <c r="L138" t="n">
        <v>0</v>
      </c>
      <c r="M138" t="n">
        <v>0</v>
      </c>
      <c r="N138" t="n">
        <v>0</v>
      </c>
      <c r="O138" t="n">
        <v>3</v>
      </c>
      <c r="P138" t="n">
        <v>1</v>
      </c>
      <c r="Q138" t="n">
        <v>4</v>
      </c>
      <c r="R138" s="2" t="inlineStr">
        <is>
          <t>Lakritsmusseron
Motaggsvamp
Skrovlig taggsvamp
Dropptaggsvamp</t>
        </is>
      </c>
      <c r="S138">
        <f>HYPERLINK("https://klasma.github.io/Logging_1446/artfynd/A 65473-2019 artfynd.xlsx", "A 65473-2019")</f>
        <v/>
      </c>
      <c r="T138">
        <f>HYPERLINK("https://klasma.github.io/Logging_1446/kartor/A 65473-2019 karta.png", "A 65473-2019")</f>
        <v/>
      </c>
      <c r="V138">
        <f>HYPERLINK("https://klasma.github.io/Logging_1446/klagomål/A 65473-2019 FSC-klagomål.docx", "A 65473-2019")</f>
        <v/>
      </c>
      <c r="W138">
        <f>HYPERLINK("https://klasma.github.io/Logging_1446/klagomålsmail/A 65473-2019 FSC-klagomål mail.docx", "A 65473-2019")</f>
        <v/>
      </c>
      <c r="X138">
        <f>HYPERLINK("https://klasma.github.io/Logging_1446/tillsyn/A 65473-2019 tillsynsbegäran.docx", "A 65473-2019")</f>
        <v/>
      </c>
      <c r="Y138">
        <f>HYPERLINK("https://klasma.github.io/Logging_1446/tillsynsmail/A 65473-2019 tillsynsbegäran mail.docx", "A 65473-2019")</f>
        <v/>
      </c>
    </row>
    <row r="139" ht="15" customHeight="1">
      <c r="A139" t="inlineStr">
        <is>
          <t>A 65650-2019</t>
        </is>
      </c>
      <c r="B139" s="1" t="n">
        <v>43804</v>
      </c>
      <c r="C139" s="1" t="n">
        <v>45586</v>
      </c>
      <c r="D139" t="inlineStr">
        <is>
          <t>VÄSTRA GÖTALANDS LÄN</t>
        </is>
      </c>
      <c r="E139" t="inlineStr">
        <is>
          <t>KARLSBORG</t>
        </is>
      </c>
      <c r="G139" t="n">
        <v>11.9</v>
      </c>
      <c r="H139" t="n">
        <v>1</v>
      </c>
      <c r="I139" t="n">
        <v>1</v>
      </c>
      <c r="J139" t="n">
        <v>2</v>
      </c>
      <c r="K139" t="n">
        <v>0</v>
      </c>
      <c r="L139" t="n">
        <v>0</v>
      </c>
      <c r="M139" t="n">
        <v>0</v>
      </c>
      <c r="N139" t="n">
        <v>0</v>
      </c>
      <c r="O139" t="n">
        <v>2</v>
      </c>
      <c r="P139" t="n">
        <v>0</v>
      </c>
      <c r="Q139" t="n">
        <v>4</v>
      </c>
      <c r="R139" s="2" t="inlineStr">
        <is>
          <t>Dofttaggsvamp
Svart taggsvamp
Dropptaggsvamp
Vanlig padda</t>
        </is>
      </c>
      <c r="S139">
        <f>HYPERLINK("https://klasma.github.io/Logging_1446/artfynd/A 65650-2019 artfynd.xlsx", "A 65650-2019")</f>
        <v/>
      </c>
      <c r="T139">
        <f>HYPERLINK("https://klasma.github.io/Logging_1446/kartor/A 65650-2019 karta.png", "A 65650-2019")</f>
        <v/>
      </c>
      <c r="V139">
        <f>HYPERLINK("https://klasma.github.io/Logging_1446/klagomål/A 65650-2019 FSC-klagomål.docx", "A 65650-2019")</f>
        <v/>
      </c>
      <c r="W139">
        <f>HYPERLINK("https://klasma.github.io/Logging_1446/klagomålsmail/A 65650-2019 FSC-klagomål mail.docx", "A 65650-2019")</f>
        <v/>
      </c>
      <c r="X139">
        <f>HYPERLINK("https://klasma.github.io/Logging_1446/tillsyn/A 65650-2019 tillsynsbegäran.docx", "A 65650-2019")</f>
        <v/>
      </c>
      <c r="Y139">
        <f>HYPERLINK("https://klasma.github.io/Logging_1446/tillsynsmail/A 65650-2019 tillsynsbegäran mail.docx", "A 65650-2019")</f>
        <v/>
      </c>
    </row>
    <row r="140" ht="15" customHeight="1">
      <c r="A140" t="inlineStr">
        <is>
          <t>A 41180-2020</t>
        </is>
      </c>
      <c r="B140" s="1" t="n">
        <v>44069</v>
      </c>
      <c r="C140" s="1" t="n">
        <v>45586</v>
      </c>
      <c r="D140" t="inlineStr">
        <is>
          <t>VÄSTRA GÖTALANDS LÄN</t>
        </is>
      </c>
      <c r="E140" t="inlineStr">
        <is>
          <t>KARLSBORG</t>
        </is>
      </c>
      <c r="G140" t="n">
        <v>14.4</v>
      </c>
      <c r="H140" t="n">
        <v>1</v>
      </c>
      <c r="I140" t="n">
        <v>1</v>
      </c>
      <c r="J140" t="n">
        <v>2</v>
      </c>
      <c r="K140" t="n">
        <v>0</v>
      </c>
      <c r="L140" t="n">
        <v>0</v>
      </c>
      <c r="M140" t="n">
        <v>0</v>
      </c>
      <c r="N140" t="n">
        <v>0</v>
      </c>
      <c r="O140" t="n">
        <v>2</v>
      </c>
      <c r="P140" t="n">
        <v>0</v>
      </c>
      <c r="Q140" t="n">
        <v>4</v>
      </c>
      <c r="R140" s="2" t="inlineStr">
        <is>
          <t>Skogsklocka
Slåtterfibbla
Vårärt
Blåsippa</t>
        </is>
      </c>
      <c r="S140">
        <f>HYPERLINK("https://klasma.github.io/Logging_1446/artfynd/A 41180-2020 artfynd.xlsx", "A 41180-2020")</f>
        <v/>
      </c>
      <c r="T140">
        <f>HYPERLINK("https://klasma.github.io/Logging_1446/kartor/A 41180-2020 karta.png", "A 41180-2020")</f>
        <v/>
      </c>
      <c r="V140">
        <f>HYPERLINK("https://klasma.github.io/Logging_1446/klagomål/A 41180-2020 FSC-klagomål.docx", "A 41180-2020")</f>
        <v/>
      </c>
      <c r="W140">
        <f>HYPERLINK("https://klasma.github.io/Logging_1446/klagomålsmail/A 41180-2020 FSC-klagomål mail.docx", "A 41180-2020")</f>
        <v/>
      </c>
      <c r="X140">
        <f>HYPERLINK("https://klasma.github.io/Logging_1446/tillsyn/A 41180-2020 tillsynsbegäran.docx", "A 41180-2020")</f>
        <v/>
      </c>
      <c r="Y140">
        <f>HYPERLINK("https://klasma.github.io/Logging_1446/tillsynsmail/A 41180-2020 tillsynsbegäran mail.docx", "A 41180-2020")</f>
        <v/>
      </c>
    </row>
    <row r="141" ht="15" customHeight="1">
      <c r="A141" t="inlineStr">
        <is>
          <t>A 41233-2020</t>
        </is>
      </c>
      <c r="B141" s="1" t="n">
        <v>44071</v>
      </c>
      <c r="C141" s="1" t="n">
        <v>45586</v>
      </c>
      <c r="D141" t="inlineStr">
        <is>
          <t>VÄSTRA GÖTALANDS LÄN</t>
        </is>
      </c>
      <c r="E141" t="inlineStr">
        <is>
          <t>STRÖMSTAD</t>
        </is>
      </c>
      <c r="G141" t="n">
        <v>9.300000000000001</v>
      </c>
      <c r="H141" t="n">
        <v>4</v>
      </c>
      <c r="I141" t="n">
        <v>1</v>
      </c>
      <c r="J141" t="n">
        <v>0</v>
      </c>
      <c r="K141" t="n">
        <v>0</v>
      </c>
      <c r="L141" t="n">
        <v>0</v>
      </c>
      <c r="M141" t="n">
        <v>0</v>
      </c>
      <c r="N141" t="n">
        <v>0</v>
      </c>
      <c r="O141" t="n">
        <v>0</v>
      </c>
      <c r="P141" t="n">
        <v>0</v>
      </c>
      <c r="Q141" t="n">
        <v>4</v>
      </c>
      <c r="R141" s="2" t="inlineStr">
        <is>
          <t>Korallrot
Blåsippa
Lopplummer
Revlummer</t>
        </is>
      </c>
      <c r="S141">
        <f>HYPERLINK("https://klasma.github.io/Logging_1486/artfynd/A 41233-2020 artfynd.xlsx", "A 41233-2020")</f>
        <v/>
      </c>
      <c r="T141">
        <f>HYPERLINK("https://klasma.github.io/Logging_1486/kartor/A 41233-2020 karta.png", "A 41233-2020")</f>
        <v/>
      </c>
      <c r="V141">
        <f>HYPERLINK("https://klasma.github.io/Logging_1486/klagomål/A 41233-2020 FSC-klagomål.docx", "A 41233-2020")</f>
        <v/>
      </c>
      <c r="W141">
        <f>HYPERLINK("https://klasma.github.io/Logging_1486/klagomålsmail/A 41233-2020 FSC-klagomål mail.docx", "A 41233-2020")</f>
        <v/>
      </c>
      <c r="X141">
        <f>HYPERLINK("https://klasma.github.io/Logging_1486/tillsyn/A 41233-2020 tillsynsbegäran.docx", "A 41233-2020")</f>
        <v/>
      </c>
      <c r="Y141">
        <f>HYPERLINK("https://klasma.github.io/Logging_1486/tillsynsmail/A 41233-2020 tillsynsbegäran mail.docx", "A 41233-2020")</f>
        <v/>
      </c>
    </row>
    <row r="142" ht="15" customHeight="1">
      <c r="A142" t="inlineStr">
        <is>
          <t>A 7577-2021</t>
        </is>
      </c>
      <c r="B142" s="1" t="n">
        <v>44240</v>
      </c>
      <c r="C142" s="1" t="n">
        <v>45586</v>
      </c>
      <c r="D142" t="inlineStr">
        <is>
          <t>VÄSTRA GÖTALANDS LÄN</t>
        </is>
      </c>
      <c r="E142" t="inlineStr">
        <is>
          <t>TANUM</t>
        </is>
      </c>
      <c r="G142" t="n">
        <v>2</v>
      </c>
      <c r="H142" t="n">
        <v>1</v>
      </c>
      <c r="I142" t="n">
        <v>3</v>
      </c>
      <c r="J142" t="n">
        <v>1</v>
      </c>
      <c r="K142" t="n">
        <v>0</v>
      </c>
      <c r="L142" t="n">
        <v>0</v>
      </c>
      <c r="M142" t="n">
        <v>0</v>
      </c>
      <c r="N142" t="n">
        <v>0</v>
      </c>
      <c r="O142" t="n">
        <v>1</v>
      </c>
      <c r="P142" t="n">
        <v>0</v>
      </c>
      <c r="Q142" t="n">
        <v>4</v>
      </c>
      <c r="R142" s="2" t="inlineStr">
        <is>
          <t>Spillkråka
Blåmossa
Dropptaggsvamp
Mindre märgborre</t>
        </is>
      </c>
      <c r="S142">
        <f>HYPERLINK("https://klasma.github.io/Logging_1435/artfynd/A 7577-2021 artfynd.xlsx", "A 7577-2021")</f>
        <v/>
      </c>
      <c r="T142">
        <f>HYPERLINK("https://klasma.github.io/Logging_1435/kartor/A 7577-2021 karta.png", "A 7577-2021")</f>
        <v/>
      </c>
      <c r="V142">
        <f>HYPERLINK("https://klasma.github.io/Logging_1435/klagomål/A 7577-2021 FSC-klagomål.docx", "A 7577-2021")</f>
        <v/>
      </c>
      <c r="W142">
        <f>HYPERLINK("https://klasma.github.io/Logging_1435/klagomålsmail/A 7577-2021 FSC-klagomål mail.docx", "A 7577-2021")</f>
        <v/>
      </c>
      <c r="X142">
        <f>HYPERLINK("https://klasma.github.io/Logging_1435/tillsyn/A 7577-2021 tillsynsbegäran.docx", "A 7577-2021")</f>
        <v/>
      </c>
      <c r="Y142">
        <f>HYPERLINK("https://klasma.github.io/Logging_1435/tillsynsmail/A 7577-2021 tillsynsbegäran mail.docx", "A 7577-2021")</f>
        <v/>
      </c>
      <c r="Z142">
        <f>HYPERLINK("https://klasma.github.io/Logging_1435/fåglar/A 7577-2021 prioriterade fågelarter.docx", "A 7577-2021")</f>
        <v/>
      </c>
    </row>
    <row r="143" ht="15" customHeight="1">
      <c r="A143" t="inlineStr">
        <is>
          <t>A 17902-2021</t>
        </is>
      </c>
      <c r="B143" s="1" t="n">
        <v>44300</v>
      </c>
      <c r="C143" s="1" t="n">
        <v>45586</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32397-2021</t>
        </is>
      </c>
      <c r="B144" s="1" t="n">
        <v>44371</v>
      </c>
      <c r="C144" s="1" t="n">
        <v>45586</v>
      </c>
      <c r="D144" t="inlineStr">
        <is>
          <t>VÄSTRA GÖTALANDS LÄN</t>
        </is>
      </c>
      <c r="E144" t="inlineStr">
        <is>
          <t>MELLERUD</t>
        </is>
      </c>
      <c r="G144" t="n">
        <v>6.9</v>
      </c>
      <c r="H144" t="n">
        <v>2</v>
      </c>
      <c r="I144" t="n">
        <v>2</v>
      </c>
      <c r="J144" t="n">
        <v>1</v>
      </c>
      <c r="K144" t="n">
        <v>0</v>
      </c>
      <c r="L144" t="n">
        <v>0</v>
      </c>
      <c r="M144" t="n">
        <v>0</v>
      </c>
      <c r="N144" t="n">
        <v>0</v>
      </c>
      <c r="O144" t="n">
        <v>1</v>
      </c>
      <c r="P144" t="n">
        <v>0</v>
      </c>
      <c r="Q144" t="n">
        <v>4</v>
      </c>
      <c r="R144" s="2" t="inlineStr">
        <is>
          <t>Skirmossa
Dunmossa
Stor revmossa
Blåsippa</t>
        </is>
      </c>
      <c r="S144">
        <f>HYPERLINK("https://klasma.github.io/Logging_1461/artfynd/A 32397-2021 artfynd.xlsx", "A 32397-2021")</f>
        <v/>
      </c>
      <c r="T144">
        <f>HYPERLINK("https://klasma.github.io/Logging_1461/kartor/A 32397-2021 karta.png", "A 32397-2021")</f>
        <v/>
      </c>
      <c r="V144">
        <f>HYPERLINK("https://klasma.github.io/Logging_1461/klagomål/A 32397-2021 FSC-klagomål.docx", "A 32397-2021")</f>
        <v/>
      </c>
      <c r="W144">
        <f>HYPERLINK("https://klasma.github.io/Logging_1461/klagomålsmail/A 32397-2021 FSC-klagomål mail.docx", "A 32397-2021")</f>
        <v/>
      </c>
      <c r="X144">
        <f>HYPERLINK("https://klasma.github.io/Logging_1461/tillsyn/A 32397-2021 tillsynsbegäran.docx", "A 32397-2021")</f>
        <v/>
      </c>
      <c r="Y144">
        <f>HYPERLINK("https://klasma.github.io/Logging_1461/tillsynsmail/A 32397-2021 tillsynsbegäran mail.docx", "A 32397-2021")</f>
        <v/>
      </c>
    </row>
    <row r="145" ht="15" customHeight="1">
      <c r="A145" t="inlineStr">
        <is>
          <t>A 49356-2021</t>
        </is>
      </c>
      <c r="B145" s="1" t="n">
        <v>44454</v>
      </c>
      <c r="C145" s="1" t="n">
        <v>45586</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54706-2021</t>
        </is>
      </c>
      <c r="B146" s="1" t="n">
        <v>44473</v>
      </c>
      <c r="C146" s="1" t="n">
        <v>45586</v>
      </c>
      <c r="D146" t="inlineStr">
        <is>
          <t>VÄSTRA GÖTALANDS LÄN</t>
        </is>
      </c>
      <c r="E146" t="inlineStr">
        <is>
          <t>MARIESTAD</t>
        </is>
      </c>
      <c r="G146" t="n">
        <v>4.2</v>
      </c>
      <c r="H146" t="n">
        <v>4</v>
      </c>
      <c r="I146" t="n">
        <v>0</v>
      </c>
      <c r="J146" t="n">
        <v>2</v>
      </c>
      <c r="K146" t="n">
        <v>1</v>
      </c>
      <c r="L146" t="n">
        <v>0</v>
      </c>
      <c r="M146" t="n">
        <v>0</v>
      </c>
      <c r="N146" t="n">
        <v>0</v>
      </c>
      <c r="O146" t="n">
        <v>3</v>
      </c>
      <c r="P146" t="n">
        <v>1</v>
      </c>
      <c r="Q146" t="n">
        <v>4</v>
      </c>
      <c r="R146" s="2" t="inlineStr">
        <is>
          <t>Tofsvipa
Björktrast
Mindre hackspett
Orre</t>
        </is>
      </c>
      <c r="S146">
        <f>HYPERLINK("https://klasma.github.io/Logging_1493/artfynd/A 54706-2021 artfynd.xlsx", "A 54706-2021")</f>
        <v/>
      </c>
      <c r="T146">
        <f>HYPERLINK("https://klasma.github.io/Logging_1493/kartor/A 54706-2021 karta.png", "A 54706-2021")</f>
        <v/>
      </c>
      <c r="V146">
        <f>HYPERLINK("https://klasma.github.io/Logging_1493/klagomål/A 54706-2021 FSC-klagomål.docx", "A 54706-2021")</f>
        <v/>
      </c>
      <c r="W146">
        <f>HYPERLINK("https://klasma.github.io/Logging_1493/klagomålsmail/A 54706-2021 FSC-klagomål mail.docx", "A 54706-2021")</f>
        <v/>
      </c>
      <c r="X146">
        <f>HYPERLINK("https://klasma.github.io/Logging_1493/tillsyn/A 54706-2021 tillsynsbegäran.docx", "A 54706-2021")</f>
        <v/>
      </c>
      <c r="Y146">
        <f>HYPERLINK("https://klasma.github.io/Logging_1493/tillsynsmail/A 54706-2021 tillsynsbegäran mail.docx", "A 54706-2021")</f>
        <v/>
      </c>
      <c r="Z146">
        <f>HYPERLINK("https://klasma.github.io/Logging_1493/fåglar/A 54706-2021 prioriterade fågelarter.docx", "A 54706-2021")</f>
        <v/>
      </c>
    </row>
    <row r="147" ht="15" customHeight="1">
      <c r="A147" t="inlineStr">
        <is>
          <t>A 57566-2021</t>
        </is>
      </c>
      <c r="B147" s="1" t="n">
        <v>44484</v>
      </c>
      <c r="C147" s="1" t="n">
        <v>45586</v>
      </c>
      <c r="D147" t="inlineStr">
        <is>
          <t>VÄSTRA GÖTALANDS LÄN</t>
        </is>
      </c>
      <c r="E147" t="inlineStr">
        <is>
          <t>TÖREBODA</t>
        </is>
      </c>
      <c r="F147" t="inlineStr">
        <is>
          <t>Sveaskog</t>
        </is>
      </c>
      <c r="G147" t="n">
        <v>1.3</v>
      </c>
      <c r="H147" t="n">
        <v>1</v>
      </c>
      <c r="I147" t="n">
        <v>2</v>
      </c>
      <c r="J147" t="n">
        <v>0</v>
      </c>
      <c r="K147" t="n">
        <v>0</v>
      </c>
      <c r="L147" t="n">
        <v>1</v>
      </c>
      <c r="M147" t="n">
        <v>0</v>
      </c>
      <c r="N147" t="n">
        <v>0</v>
      </c>
      <c r="O147" t="n">
        <v>1</v>
      </c>
      <c r="P147" t="n">
        <v>1</v>
      </c>
      <c r="Q147" t="n">
        <v>4</v>
      </c>
      <c r="R147" s="2" t="inlineStr">
        <is>
          <t>Ask
Lönnlav
Trubbfjädermossa
Blåsippa</t>
        </is>
      </c>
      <c r="S147">
        <f>HYPERLINK("https://klasma.github.io/Logging_1473/artfynd/A 57566-2021 artfynd.xlsx", "A 57566-2021")</f>
        <v/>
      </c>
      <c r="T147">
        <f>HYPERLINK("https://klasma.github.io/Logging_1473/kartor/A 57566-2021 karta.png", "A 57566-2021")</f>
        <v/>
      </c>
      <c r="V147">
        <f>HYPERLINK("https://klasma.github.io/Logging_1473/klagomål/A 57566-2021 FSC-klagomål.docx", "A 57566-2021")</f>
        <v/>
      </c>
      <c r="W147">
        <f>HYPERLINK("https://klasma.github.io/Logging_1473/klagomålsmail/A 57566-2021 FSC-klagomål mail.docx", "A 57566-2021")</f>
        <v/>
      </c>
      <c r="X147">
        <f>HYPERLINK("https://klasma.github.io/Logging_1473/tillsyn/A 57566-2021 tillsynsbegäran.docx", "A 57566-2021")</f>
        <v/>
      </c>
      <c r="Y147">
        <f>HYPERLINK("https://klasma.github.io/Logging_1473/tillsynsmail/A 57566-2021 tillsynsbegäran mail.docx", "A 57566-2021")</f>
        <v/>
      </c>
    </row>
    <row r="148" ht="15" customHeight="1">
      <c r="A148" t="inlineStr">
        <is>
          <t>A 63367-2021</t>
        </is>
      </c>
      <c r="B148" s="1" t="n">
        <v>44506</v>
      </c>
      <c r="C148" s="1" t="n">
        <v>45586</v>
      </c>
      <c r="D148" t="inlineStr">
        <is>
          <t>VÄSTRA GÖTALANDS LÄN</t>
        </is>
      </c>
      <c r="E148" t="inlineStr">
        <is>
          <t>TANUM</t>
        </is>
      </c>
      <c r="G148" t="n">
        <v>1.7</v>
      </c>
      <c r="H148" t="n">
        <v>4</v>
      </c>
      <c r="I148" t="n">
        <v>0</v>
      </c>
      <c r="J148" t="n">
        <v>4</v>
      </c>
      <c r="K148" t="n">
        <v>0</v>
      </c>
      <c r="L148" t="n">
        <v>0</v>
      </c>
      <c r="M148" t="n">
        <v>0</v>
      </c>
      <c r="N148" t="n">
        <v>0</v>
      </c>
      <c r="O148" t="n">
        <v>4</v>
      </c>
      <c r="P148" t="n">
        <v>0</v>
      </c>
      <c r="Q148" t="n">
        <v>4</v>
      </c>
      <c r="R148" s="2" t="inlineStr">
        <is>
          <t>Grönsångare
Gulsparv
Kråka
Talltita</t>
        </is>
      </c>
      <c r="S148">
        <f>HYPERLINK("https://klasma.github.io/Logging_1435/artfynd/A 63367-2021 artfynd.xlsx", "A 63367-2021")</f>
        <v/>
      </c>
      <c r="T148">
        <f>HYPERLINK("https://klasma.github.io/Logging_1435/kartor/A 63367-2021 karta.png", "A 63367-2021")</f>
        <v/>
      </c>
      <c r="V148">
        <f>HYPERLINK("https://klasma.github.io/Logging_1435/klagomål/A 63367-2021 FSC-klagomål.docx", "A 63367-2021")</f>
        <v/>
      </c>
      <c r="W148">
        <f>HYPERLINK("https://klasma.github.io/Logging_1435/klagomålsmail/A 63367-2021 FSC-klagomål mail.docx", "A 63367-2021")</f>
        <v/>
      </c>
      <c r="X148">
        <f>HYPERLINK("https://klasma.github.io/Logging_1435/tillsyn/A 63367-2021 tillsynsbegäran.docx", "A 63367-2021")</f>
        <v/>
      </c>
      <c r="Y148">
        <f>HYPERLINK("https://klasma.github.io/Logging_1435/tillsynsmail/A 63367-2021 tillsynsbegäran mail.docx", "A 63367-2021")</f>
        <v/>
      </c>
      <c r="Z148">
        <f>HYPERLINK("https://klasma.github.io/Logging_1435/fåglar/A 63367-2021 prioriterade fågelarter.docx", "A 63367-2021")</f>
        <v/>
      </c>
    </row>
    <row r="149" ht="15" customHeight="1">
      <c r="A149" t="inlineStr">
        <is>
          <t>A 74306-2021</t>
        </is>
      </c>
      <c r="B149" s="1" t="n">
        <v>44559</v>
      </c>
      <c r="C149" s="1" t="n">
        <v>45586</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244-2022</t>
        </is>
      </c>
      <c r="B150" s="1" t="n">
        <v>44563</v>
      </c>
      <c r="C150" s="1" t="n">
        <v>45586</v>
      </c>
      <c r="D150" t="inlineStr">
        <is>
          <t>VÄSTRA GÖTALANDS LÄN</t>
        </is>
      </c>
      <c r="E150" t="inlineStr">
        <is>
          <t>MUNKEDAL</t>
        </is>
      </c>
      <c r="G150" t="n">
        <v>2.5</v>
      </c>
      <c r="H150" t="n">
        <v>1</v>
      </c>
      <c r="I150" t="n">
        <v>3</v>
      </c>
      <c r="J150" t="n">
        <v>1</v>
      </c>
      <c r="K150" t="n">
        <v>0</v>
      </c>
      <c r="L150" t="n">
        <v>0</v>
      </c>
      <c r="M150" t="n">
        <v>0</v>
      </c>
      <c r="N150" t="n">
        <v>0</v>
      </c>
      <c r="O150" t="n">
        <v>1</v>
      </c>
      <c r="P150" t="n">
        <v>0</v>
      </c>
      <c r="Q150" t="n">
        <v>4</v>
      </c>
      <c r="R150" s="2" t="inlineStr">
        <is>
          <t>Spillkråka
Klippfrullania
Stor revmossa
Västlig hakmossa</t>
        </is>
      </c>
      <c r="S150">
        <f>HYPERLINK("https://klasma.github.io/Logging_1430/artfynd/A 244-2022 artfynd.xlsx", "A 244-2022")</f>
        <v/>
      </c>
      <c r="T150">
        <f>HYPERLINK("https://klasma.github.io/Logging_1430/kartor/A 244-2022 karta.png", "A 244-2022")</f>
        <v/>
      </c>
      <c r="V150">
        <f>HYPERLINK("https://klasma.github.io/Logging_1430/klagomål/A 244-2022 FSC-klagomål.docx", "A 244-2022")</f>
        <v/>
      </c>
      <c r="W150">
        <f>HYPERLINK("https://klasma.github.io/Logging_1430/klagomålsmail/A 244-2022 FSC-klagomål mail.docx", "A 244-2022")</f>
        <v/>
      </c>
      <c r="X150">
        <f>HYPERLINK("https://klasma.github.io/Logging_1430/tillsyn/A 244-2022 tillsynsbegäran.docx", "A 244-2022")</f>
        <v/>
      </c>
      <c r="Y150">
        <f>HYPERLINK("https://klasma.github.io/Logging_1430/tillsynsmail/A 244-2022 tillsynsbegäran mail.docx", "A 244-2022")</f>
        <v/>
      </c>
      <c r="Z150">
        <f>HYPERLINK("https://klasma.github.io/Logging_1430/fåglar/A 244-2022 prioriterade fågelarter.docx", "A 244-2022")</f>
        <v/>
      </c>
    </row>
    <row r="151" ht="15" customHeight="1">
      <c r="A151" t="inlineStr">
        <is>
          <t>A 5481-2022</t>
        </is>
      </c>
      <c r="B151" s="1" t="n">
        <v>44595</v>
      </c>
      <c r="C151" s="1" t="n">
        <v>45586</v>
      </c>
      <c r="D151" t="inlineStr">
        <is>
          <t>VÄSTRA GÖTALANDS LÄN</t>
        </is>
      </c>
      <c r="E151" t="inlineStr">
        <is>
          <t>SKÖVDE</t>
        </is>
      </c>
      <c r="F151" t="inlineStr">
        <is>
          <t>Kommuner</t>
        </is>
      </c>
      <c r="G151" t="n">
        <v>2.3</v>
      </c>
      <c r="H151" t="n">
        <v>3</v>
      </c>
      <c r="I151" t="n">
        <v>1</v>
      </c>
      <c r="J151" t="n">
        <v>1</v>
      </c>
      <c r="K151" t="n">
        <v>1</v>
      </c>
      <c r="L151" t="n">
        <v>0</v>
      </c>
      <c r="M151" t="n">
        <v>0</v>
      </c>
      <c r="N151" t="n">
        <v>0</v>
      </c>
      <c r="O151" t="n">
        <v>2</v>
      </c>
      <c r="P151" t="n">
        <v>1</v>
      </c>
      <c r="Q151" t="n">
        <v>4</v>
      </c>
      <c r="R151" s="2" t="inlineStr">
        <is>
          <t>Knärot
Grantaggsvamp
Skogsknipprot
Revlummer</t>
        </is>
      </c>
      <c r="S151">
        <f>HYPERLINK("https://klasma.github.io/Logging_1496/artfynd/A 5481-2022 artfynd.xlsx", "A 5481-2022")</f>
        <v/>
      </c>
      <c r="T151">
        <f>HYPERLINK("https://klasma.github.io/Logging_1496/kartor/A 5481-2022 karta.png", "A 5481-2022")</f>
        <v/>
      </c>
      <c r="U151">
        <f>HYPERLINK("https://klasma.github.io/Logging_1496/knärot/A 5481-2022 karta knärot.png", "A 5481-2022")</f>
        <v/>
      </c>
      <c r="V151">
        <f>HYPERLINK("https://klasma.github.io/Logging_1496/klagomål/A 5481-2022 FSC-klagomål.docx", "A 5481-2022")</f>
        <v/>
      </c>
      <c r="W151">
        <f>HYPERLINK("https://klasma.github.io/Logging_1496/klagomålsmail/A 5481-2022 FSC-klagomål mail.docx", "A 5481-2022")</f>
        <v/>
      </c>
      <c r="X151">
        <f>HYPERLINK("https://klasma.github.io/Logging_1496/tillsyn/A 5481-2022 tillsynsbegäran.docx", "A 5481-2022")</f>
        <v/>
      </c>
      <c r="Y151">
        <f>HYPERLINK("https://klasma.github.io/Logging_1496/tillsynsmail/A 5481-2022 tillsynsbegäran mail.docx", "A 5481-2022")</f>
        <v/>
      </c>
    </row>
    <row r="152" ht="15" customHeight="1">
      <c r="A152" t="inlineStr">
        <is>
          <t>A 12865-2022</t>
        </is>
      </c>
      <c r="B152" s="1" t="n">
        <v>44642</v>
      </c>
      <c r="C152" s="1" t="n">
        <v>45586</v>
      </c>
      <c r="D152" t="inlineStr">
        <is>
          <t>VÄSTRA GÖTALANDS LÄN</t>
        </is>
      </c>
      <c r="E152" t="inlineStr">
        <is>
          <t>GÖTENE</t>
        </is>
      </c>
      <c r="G152" t="n">
        <v>0.5</v>
      </c>
      <c r="H152" t="n">
        <v>4</v>
      </c>
      <c r="I152" t="n">
        <v>0</v>
      </c>
      <c r="J152" t="n">
        <v>1</v>
      </c>
      <c r="K152" t="n">
        <v>0</v>
      </c>
      <c r="L152" t="n">
        <v>0</v>
      </c>
      <c r="M152" t="n">
        <v>0</v>
      </c>
      <c r="N152" t="n">
        <v>0</v>
      </c>
      <c r="O152" t="n">
        <v>1</v>
      </c>
      <c r="P152" t="n">
        <v>0</v>
      </c>
      <c r="Q152" t="n">
        <v>4</v>
      </c>
      <c r="R152" s="2" t="inlineStr">
        <is>
          <t>Nordfladdermus
Dvärgpipistrell
Större brunfladdermus
Vattenfladdermus</t>
        </is>
      </c>
      <c r="S152">
        <f>HYPERLINK("https://klasma.github.io/Logging_1471/artfynd/A 12865-2022 artfynd.xlsx", "A 12865-2022")</f>
        <v/>
      </c>
      <c r="T152">
        <f>HYPERLINK("https://klasma.github.io/Logging_1471/kartor/A 12865-2022 karta.png", "A 12865-2022")</f>
        <v/>
      </c>
      <c r="V152">
        <f>HYPERLINK("https://klasma.github.io/Logging_1471/klagomål/A 12865-2022 FSC-klagomål.docx", "A 12865-2022")</f>
        <v/>
      </c>
      <c r="W152">
        <f>HYPERLINK("https://klasma.github.io/Logging_1471/klagomålsmail/A 12865-2022 FSC-klagomål mail.docx", "A 12865-2022")</f>
        <v/>
      </c>
      <c r="X152">
        <f>HYPERLINK("https://klasma.github.io/Logging_1471/tillsyn/A 12865-2022 tillsynsbegäran.docx", "A 12865-2022")</f>
        <v/>
      </c>
      <c r="Y152">
        <f>HYPERLINK("https://klasma.github.io/Logging_1471/tillsynsmail/A 12865-2022 tillsynsbegäran mail.docx", "A 12865-2022")</f>
        <v/>
      </c>
    </row>
    <row r="153" ht="15" customHeight="1">
      <c r="A153" t="inlineStr">
        <is>
          <t>A 19284-2022</t>
        </is>
      </c>
      <c r="B153" s="1" t="n">
        <v>44692</v>
      </c>
      <c r="C153" s="1" t="n">
        <v>45586</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44523-2022</t>
        </is>
      </c>
      <c r="B154" s="1" t="n">
        <v>44840</v>
      </c>
      <c r="C154" s="1" t="n">
        <v>45586</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54650-2022</t>
        </is>
      </c>
      <c r="B155" s="1" t="n">
        <v>44883</v>
      </c>
      <c r="C155" s="1" t="n">
        <v>45586</v>
      </c>
      <c r="D155" t="inlineStr">
        <is>
          <t>VÄSTRA GÖTALANDS LÄN</t>
        </is>
      </c>
      <c r="E155" t="inlineStr">
        <is>
          <t>SVENLJUNGA</t>
        </is>
      </c>
      <c r="F155" t="inlineStr">
        <is>
          <t>Sveaskog</t>
        </is>
      </c>
      <c r="G155" t="n">
        <v>3.3</v>
      </c>
      <c r="H155" t="n">
        <v>0</v>
      </c>
      <c r="I155" t="n">
        <v>0</v>
      </c>
      <c r="J155" t="n">
        <v>2</v>
      </c>
      <c r="K155" t="n">
        <v>1</v>
      </c>
      <c r="L155" t="n">
        <v>1</v>
      </c>
      <c r="M155" t="n">
        <v>0</v>
      </c>
      <c r="N155" t="n">
        <v>0</v>
      </c>
      <c r="O155" t="n">
        <v>4</v>
      </c>
      <c r="P155" t="n">
        <v>2</v>
      </c>
      <c r="Q155" t="n">
        <v>4</v>
      </c>
      <c r="R155" s="2" t="inlineStr">
        <is>
          <t>Ask
Slåttergubbe
Svinrot
Vårstarr</t>
        </is>
      </c>
      <c r="S155">
        <f>HYPERLINK("https://klasma.github.io/Logging_1465/artfynd/A 54650-2022 artfynd.xlsx", "A 54650-2022")</f>
        <v/>
      </c>
      <c r="T155">
        <f>HYPERLINK("https://klasma.github.io/Logging_1465/kartor/A 54650-2022 karta.png", "A 54650-2022")</f>
        <v/>
      </c>
      <c r="V155">
        <f>HYPERLINK("https://klasma.github.io/Logging_1465/klagomål/A 54650-2022 FSC-klagomål.docx", "A 54650-2022")</f>
        <v/>
      </c>
      <c r="W155">
        <f>HYPERLINK("https://klasma.github.io/Logging_1465/klagomålsmail/A 54650-2022 FSC-klagomål mail.docx", "A 54650-2022")</f>
        <v/>
      </c>
      <c r="X155">
        <f>HYPERLINK("https://klasma.github.io/Logging_1465/tillsyn/A 54650-2022 tillsynsbegäran.docx", "A 54650-2022")</f>
        <v/>
      </c>
      <c r="Y155">
        <f>HYPERLINK("https://klasma.github.io/Logging_1465/tillsynsmail/A 54650-2022 tillsynsbegäran mail.docx", "A 54650-2022")</f>
        <v/>
      </c>
    </row>
    <row r="156" ht="15" customHeight="1">
      <c r="A156" t="inlineStr">
        <is>
          <t>A 5841-2023</t>
        </is>
      </c>
      <c r="B156" s="1" t="n">
        <v>44963</v>
      </c>
      <c r="C156" s="1" t="n">
        <v>45586</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13950-2023</t>
        </is>
      </c>
      <c r="B157" s="1" t="n">
        <v>45008</v>
      </c>
      <c r="C157" s="1" t="n">
        <v>45586</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45586</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29487-2023</t>
        </is>
      </c>
      <c r="B159" s="1" t="n">
        <v>45106</v>
      </c>
      <c r="C159" s="1" t="n">
        <v>45586</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29826-2023</t>
        </is>
      </c>
      <c r="B160" s="1" t="n">
        <v>45107</v>
      </c>
      <c r="C160" s="1" t="n">
        <v>45586</v>
      </c>
      <c r="D160" t="inlineStr">
        <is>
          <t>VÄSTRA GÖTALANDS LÄN</t>
        </is>
      </c>
      <c r="E160" t="inlineStr">
        <is>
          <t>HÄRRYDA</t>
        </is>
      </c>
      <c r="G160" t="n">
        <v>8.300000000000001</v>
      </c>
      <c r="H160" t="n">
        <v>2</v>
      </c>
      <c r="I160" t="n">
        <v>2</v>
      </c>
      <c r="J160" t="n">
        <v>1</v>
      </c>
      <c r="K160" t="n">
        <v>0</v>
      </c>
      <c r="L160" t="n">
        <v>0</v>
      </c>
      <c r="M160" t="n">
        <v>0</v>
      </c>
      <c r="N160" t="n">
        <v>0</v>
      </c>
      <c r="O160" t="n">
        <v>1</v>
      </c>
      <c r="P160" t="n">
        <v>0</v>
      </c>
      <c r="Q160" t="n">
        <v>4</v>
      </c>
      <c r="R160" s="2" t="inlineStr">
        <is>
          <t>Spillkråka
Blåmossa
Skuggmossa
Kungsfågel</t>
        </is>
      </c>
      <c r="S160">
        <f>HYPERLINK("https://klasma.github.io/Logging_1401/artfynd/A 29826-2023 artfynd.xlsx", "A 29826-2023")</f>
        <v/>
      </c>
      <c r="T160">
        <f>HYPERLINK("https://klasma.github.io/Logging_1401/kartor/A 29826-2023 karta.png", "A 29826-2023")</f>
        <v/>
      </c>
      <c r="V160">
        <f>HYPERLINK("https://klasma.github.io/Logging_1401/klagomål/A 29826-2023 FSC-klagomål.docx", "A 29826-2023")</f>
        <v/>
      </c>
      <c r="W160">
        <f>HYPERLINK("https://klasma.github.io/Logging_1401/klagomålsmail/A 29826-2023 FSC-klagomål mail.docx", "A 29826-2023")</f>
        <v/>
      </c>
      <c r="X160">
        <f>HYPERLINK("https://klasma.github.io/Logging_1401/tillsyn/A 29826-2023 tillsynsbegäran.docx", "A 29826-2023")</f>
        <v/>
      </c>
      <c r="Y160">
        <f>HYPERLINK("https://klasma.github.io/Logging_1401/tillsynsmail/A 29826-2023 tillsynsbegäran mail.docx", "A 29826-2023")</f>
        <v/>
      </c>
      <c r="Z160">
        <f>HYPERLINK("https://klasma.github.io/Logging_1401/fåglar/A 29826-2023 prioriterade fågelarter.docx", "A 29826-2023")</f>
        <v/>
      </c>
    </row>
    <row r="161" ht="15" customHeight="1">
      <c r="A161" t="inlineStr">
        <is>
          <t>A 35643-2023</t>
        </is>
      </c>
      <c r="B161" s="1" t="n">
        <v>45147</v>
      </c>
      <c r="C161" s="1" t="n">
        <v>45586</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43709-2023</t>
        </is>
      </c>
      <c r="B162" s="1" t="n">
        <v>45187</v>
      </c>
      <c r="C162" s="1" t="n">
        <v>45586</v>
      </c>
      <c r="D162" t="inlineStr">
        <is>
          <t>VÄSTRA GÖTALANDS LÄN</t>
        </is>
      </c>
      <c r="E162" t="inlineStr">
        <is>
          <t>MELLERUD</t>
        </is>
      </c>
      <c r="G162" t="n">
        <v>3.6</v>
      </c>
      <c r="H162" t="n">
        <v>1</v>
      </c>
      <c r="I162" t="n">
        <v>2</v>
      </c>
      <c r="J162" t="n">
        <v>1</v>
      </c>
      <c r="K162" t="n">
        <v>0</v>
      </c>
      <c r="L162" t="n">
        <v>0</v>
      </c>
      <c r="M162" t="n">
        <v>0</v>
      </c>
      <c r="N162" t="n">
        <v>0</v>
      </c>
      <c r="O162" t="n">
        <v>1</v>
      </c>
      <c r="P162" t="n">
        <v>0</v>
      </c>
      <c r="Q162" t="n">
        <v>4</v>
      </c>
      <c r="R162" s="2" t="inlineStr">
        <is>
          <t>Lunglav
Platt fjädermossa
Slanklav
Blåsippa</t>
        </is>
      </c>
      <c r="S162">
        <f>HYPERLINK("https://klasma.github.io/Logging_1461/artfynd/A 43709-2023 artfynd.xlsx", "A 43709-2023")</f>
        <v/>
      </c>
      <c r="T162">
        <f>HYPERLINK("https://klasma.github.io/Logging_1461/kartor/A 43709-2023 karta.png", "A 43709-2023")</f>
        <v/>
      </c>
      <c r="V162">
        <f>HYPERLINK("https://klasma.github.io/Logging_1461/klagomål/A 43709-2023 FSC-klagomål.docx", "A 43709-2023")</f>
        <v/>
      </c>
      <c r="W162">
        <f>HYPERLINK("https://klasma.github.io/Logging_1461/klagomålsmail/A 43709-2023 FSC-klagomål mail.docx", "A 43709-2023")</f>
        <v/>
      </c>
      <c r="X162">
        <f>HYPERLINK("https://klasma.github.io/Logging_1461/tillsyn/A 43709-2023 tillsynsbegäran.docx", "A 43709-2023")</f>
        <v/>
      </c>
      <c r="Y162">
        <f>HYPERLINK("https://klasma.github.io/Logging_1461/tillsynsmail/A 43709-2023 tillsynsbegäran mail.docx", "A 43709-2023")</f>
        <v/>
      </c>
    </row>
    <row r="163" ht="15" customHeight="1">
      <c r="A163" t="inlineStr">
        <is>
          <t>A 43771-2023</t>
        </is>
      </c>
      <c r="B163" s="1" t="n">
        <v>45187</v>
      </c>
      <c r="C163" s="1" t="n">
        <v>45586</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48725-2023</t>
        </is>
      </c>
      <c r="B164" s="1" t="n">
        <v>45203</v>
      </c>
      <c r="C164" s="1" t="n">
        <v>45586</v>
      </c>
      <c r="D164" t="inlineStr">
        <is>
          <t>VÄSTRA GÖTALANDS LÄN</t>
        </is>
      </c>
      <c r="E164" t="inlineStr">
        <is>
          <t>TANUM</t>
        </is>
      </c>
      <c r="G164" t="n">
        <v>6.4</v>
      </c>
      <c r="H164" t="n">
        <v>0</v>
      </c>
      <c r="I164" t="n">
        <v>3</v>
      </c>
      <c r="J164" t="n">
        <v>0</v>
      </c>
      <c r="K164" t="n">
        <v>0</v>
      </c>
      <c r="L164" t="n">
        <v>1</v>
      </c>
      <c r="M164" t="n">
        <v>0</v>
      </c>
      <c r="N164" t="n">
        <v>0</v>
      </c>
      <c r="O164" t="n">
        <v>1</v>
      </c>
      <c r="P164" t="n">
        <v>1</v>
      </c>
      <c r="Q164" t="n">
        <v>4</v>
      </c>
      <c r="R164" s="2" t="inlineStr">
        <is>
          <t>Ask
Guldlockmossa
Slanklav
Trädporella</t>
        </is>
      </c>
      <c r="S164">
        <f>HYPERLINK("https://klasma.github.io/Logging_1435/artfynd/A 48725-2023 artfynd.xlsx", "A 48725-2023")</f>
        <v/>
      </c>
      <c r="T164">
        <f>HYPERLINK("https://klasma.github.io/Logging_1435/kartor/A 48725-2023 karta.png", "A 48725-2023")</f>
        <v/>
      </c>
      <c r="V164">
        <f>HYPERLINK("https://klasma.github.io/Logging_1435/klagomål/A 48725-2023 FSC-klagomål.docx", "A 48725-2023")</f>
        <v/>
      </c>
      <c r="W164">
        <f>HYPERLINK("https://klasma.github.io/Logging_1435/klagomålsmail/A 48725-2023 FSC-klagomål mail.docx", "A 48725-2023")</f>
        <v/>
      </c>
      <c r="X164">
        <f>HYPERLINK("https://klasma.github.io/Logging_1435/tillsyn/A 48725-2023 tillsynsbegäran.docx", "A 48725-2023")</f>
        <v/>
      </c>
      <c r="Y164">
        <f>HYPERLINK("https://klasma.github.io/Logging_1435/tillsynsmail/A 48725-2023 tillsynsbegäran mail.docx", "A 48725-2023")</f>
        <v/>
      </c>
    </row>
    <row r="165" ht="15" customHeight="1">
      <c r="A165" t="inlineStr">
        <is>
          <t>A 65099-2023</t>
        </is>
      </c>
      <c r="B165" s="1" t="n">
        <v>45288</v>
      </c>
      <c r="C165" s="1" t="n">
        <v>45586</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320-2024</t>
        </is>
      </c>
      <c r="B166" s="1" t="n">
        <v>45295</v>
      </c>
      <c r="C166" s="1" t="n">
        <v>45586</v>
      </c>
      <c r="D166" t="inlineStr">
        <is>
          <t>VÄSTRA GÖTALANDS LÄN</t>
        </is>
      </c>
      <c r="E166" t="inlineStr">
        <is>
          <t>LILLA EDET</t>
        </is>
      </c>
      <c r="F166" t="inlineStr">
        <is>
          <t>Kyrkan</t>
        </is>
      </c>
      <c r="G166" t="n">
        <v>1.5</v>
      </c>
      <c r="H166" t="n">
        <v>1</v>
      </c>
      <c r="I166" t="n">
        <v>3</v>
      </c>
      <c r="J166" t="n">
        <v>1</v>
      </c>
      <c r="K166" t="n">
        <v>0</v>
      </c>
      <c r="L166" t="n">
        <v>0</v>
      </c>
      <c r="M166" t="n">
        <v>0</v>
      </c>
      <c r="N166" t="n">
        <v>0</v>
      </c>
      <c r="O166" t="n">
        <v>1</v>
      </c>
      <c r="P166" t="n">
        <v>0</v>
      </c>
      <c r="Q166" t="n">
        <v>4</v>
      </c>
      <c r="R166" s="2" t="inlineStr">
        <is>
          <t>Spillkråka
Havstulpanlav
Kattfotslav
Västlig hakmossa</t>
        </is>
      </c>
      <c r="S166">
        <f>HYPERLINK("https://klasma.github.io/Logging_1462/artfynd/A 320-2024 artfynd.xlsx", "A 320-2024")</f>
        <v/>
      </c>
      <c r="T166">
        <f>HYPERLINK("https://klasma.github.io/Logging_1462/kartor/A 320-2024 karta.png", "A 320-2024")</f>
        <v/>
      </c>
      <c r="V166">
        <f>HYPERLINK("https://klasma.github.io/Logging_1462/klagomål/A 320-2024 FSC-klagomål.docx", "A 320-2024")</f>
        <v/>
      </c>
      <c r="W166">
        <f>HYPERLINK("https://klasma.github.io/Logging_1462/klagomålsmail/A 320-2024 FSC-klagomål mail.docx", "A 320-2024")</f>
        <v/>
      </c>
      <c r="X166">
        <f>HYPERLINK("https://klasma.github.io/Logging_1462/tillsyn/A 320-2024 tillsynsbegäran.docx", "A 320-2024")</f>
        <v/>
      </c>
      <c r="Y166">
        <f>HYPERLINK("https://klasma.github.io/Logging_1462/tillsynsmail/A 320-2024 tillsynsbegäran mail.docx", "A 320-2024")</f>
        <v/>
      </c>
      <c r="Z166">
        <f>HYPERLINK("https://klasma.github.io/Logging_1462/fåglar/A 320-2024 prioriterade fågelarter.docx", "A 320-2024")</f>
        <v/>
      </c>
    </row>
    <row r="167" ht="15" customHeight="1">
      <c r="A167" t="inlineStr">
        <is>
          <t>A 1414-2024</t>
        </is>
      </c>
      <c r="B167" s="1" t="n">
        <v>45303</v>
      </c>
      <c r="C167" s="1" t="n">
        <v>45586</v>
      </c>
      <c r="D167" t="inlineStr">
        <is>
          <t>VÄSTRA GÖTALANDS LÄN</t>
        </is>
      </c>
      <c r="E167" t="inlineStr">
        <is>
          <t>FÄRGELANDA</t>
        </is>
      </c>
      <c r="G167" t="n">
        <v>6.7</v>
      </c>
      <c r="H167" t="n">
        <v>2</v>
      </c>
      <c r="I167" t="n">
        <v>1</v>
      </c>
      <c r="J167" t="n">
        <v>2</v>
      </c>
      <c r="K167" t="n">
        <v>0</v>
      </c>
      <c r="L167" t="n">
        <v>0</v>
      </c>
      <c r="M167" t="n">
        <v>0</v>
      </c>
      <c r="N167" t="n">
        <v>0</v>
      </c>
      <c r="O167" t="n">
        <v>2</v>
      </c>
      <c r="P167" t="n">
        <v>0</v>
      </c>
      <c r="Q167" t="n">
        <v>4</v>
      </c>
      <c r="R167" s="2" t="inlineStr">
        <is>
          <t>Motaggsvamp
Spillkråka
Blåmossa
Revlummer</t>
        </is>
      </c>
      <c r="S167">
        <f>HYPERLINK("https://klasma.github.io/Logging_1439/artfynd/A 1414-2024 artfynd.xlsx", "A 1414-2024")</f>
        <v/>
      </c>
      <c r="T167">
        <f>HYPERLINK("https://klasma.github.io/Logging_1439/kartor/A 1414-2024 karta.png", "A 1414-2024")</f>
        <v/>
      </c>
      <c r="V167">
        <f>HYPERLINK("https://klasma.github.io/Logging_1439/klagomål/A 1414-2024 FSC-klagomål.docx", "A 1414-2024")</f>
        <v/>
      </c>
      <c r="W167">
        <f>HYPERLINK("https://klasma.github.io/Logging_1439/klagomålsmail/A 1414-2024 FSC-klagomål mail.docx", "A 1414-2024")</f>
        <v/>
      </c>
      <c r="X167">
        <f>HYPERLINK("https://klasma.github.io/Logging_1439/tillsyn/A 1414-2024 tillsynsbegäran.docx", "A 1414-2024")</f>
        <v/>
      </c>
      <c r="Y167">
        <f>HYPERLINK("https://klasma.github.io/Logging_1439/tillsynsmail/A 1414-2024 tillsynsbegäran mail.docx", "A 1414-2024")</f>
        <v/>
      </c>
      <c r="Z167">
        <f>HYPERLINK("https://klasma.github.io/Logging_1439/fåglar/A 1414-2024 prioriterade fågelarter.docx", "A 1414-2024")</f>
        <v/>
      </c>
    </row>
    <row r="168" ht="15" customHeight="1">
      <c r="A168" t="inlineStr">
        <is>
          <t>A 1630-2024</t>
        </is>
      </c>
      <c r="B168" s="1" t="n">
        <v>45306</v>
      </c>
      <c r="C168" s="1" t="n">
        <v>45586</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7906-2024</t>
        </is>
      </c>
      <c r="B169" s="1" t="n">
        <v>45350</v>
      </c>
      <c r="C169" s="1" t="n">
        <v>45586</v>
      </c>
      <c r="D169" t="inlineStr">
        <is>
          <t>VÄSTRA GÖTALANDS LÄN</t>
        </is>
      </c>
      <c r="E169" t="inlineStr">
        <is>
          <t>ALE</t>
        </is>
      </c>
      <c r="G169" t="n">
        <v>1</v>
      </c>
      <c r="H169" t="n">
        <v>3</v>
      </c>
      <c r="I169" t="n">
        <v>1</v>
      </c>
      <c r="J169" t="n">
        <v>1</v>
      </c>
      <c r="K169" t="n">
        <v>1</v>
      </c>
      <c r="L169" t="n">
        <v>0</v>
      </c>
      <c r="M169" t="n">
        <v>0</v>
      </c>
      <c r="N169" t="n">
        <v>0</v>
      </c>
      <c r="O169" t="n">
        <v>2</v>
      </c>
      <c r="P169" t="n">
        <v>1</v>
      </c>
      <c r="Q169" t="n">
        <v>4</v>
      </c>
      <c r="R169" s="2" t="inlineStr">
        <is>
          <t>Knärot
Spillkråka
Blanksvart trämyra
Kungsfågel</t>
        </is>
      </c>
      <c r="S169">
        <f>HYPERLINK("https://klasma.github.io/Logging_1440/artfynd/A 7906-2024 artfynd.xlsx", "A 7906-2024")</f>
        <v/>
      </c>
      <c r="T169">
        <f>HYPERLINK("https://klasma.github.io/Logging_1440/kartor/A 7906-2024 karta.png", "A 7906-2024")</f>
        <v/>
      </c>
      <c r="U169">
        <f>HYPERLINK("https://klasma.github.io/Logging_1440/knärot/A 7906-2024 karta knärot.png", "A 7906-2024")</f>
        <v/>
      </c>
      <c r="V169">
        <f>HYPERLINK("https://klasma.github.io/Logging_1440/klagomål/A 7906-2024 FSC-klagomål.docx", "A 7906-2024")</f>
        <v/>
      </c>
      <c r="W169">
        <f>HYPERLINK("https://klasma.github.io/Logging_1440/klagomålsmail/A 7906-2024 FSC-klagomål mail.docx", "A 7906-2024")</f>
        <v/>
      </c>
      <c r="X169">
        <f>HYPERLINK("https://klasma.github.io/Logging_1440/tillsyn/A 7906-2024 tillsynsbegäran.docx", "A 7906-2024")</f>
        <v/>
      </c>
      <c r="Y169">
        <f>HYPERLINK("https://klasma.github.io/Logging_1440/tillsynsmail/A 7906-2024 tillsynsbegäran mail.docx", "A 7906-2024")</f>
        <v/>
      </c>
      <c r="Z169">
        <f>HYPERLINK("https://klasma.github.io/Logging_1440/fåglar/A 7906-2024 prioriterade fågelarter.docx", "A 7906-2024")</f>
        <v/>
      </c>
    </row>
    <row r="170" ht="15" customHeight="1">
      <c r="A170" t="inlineStr">
        <is>
          <t>A 13517-2024</t>
        </is>
      </c>
      <c r="B170" s="1" t="n">
        <v>45387</v>
      </c>
      <c r="C170" s="1" t="n">
        <v>45586</v>
      </c>
      <c r="D170" t="inlineStr">
        <is>
          <t>VÄSTRA GÖTALANDS LÄN</t>
        </is>
      </c>
      <c r="E170" t="inlineStr">
        <is>
          <t>SKÖVDE</t>
        </is>
      </c>
      <c r="G170" t="n">
        <v>4.4</v>
      </c>
      <c r="H170" t="n">
        <v>1</v>
      </c>
      <c r="I170" t="n">
        <v>0</v>
      </c>
      <c r="J170" t="n">
        <v>2</v>
      </c>
      <c r="K170" t="n">
        <v>1</v>
      </c>
      <c r="L170" t="n">
        <v>0</v>
      </c>
      <c r="M170" t="n">
        <v>0</v>
      </c>
      <c r="N170" t="n">
        <v>0</v>
      </c>
      <c r="O170" t="n">
        <v>3</v>
      </c>
      <c r="P170" t="n">
        <v>1</v>
      </c>
      <c r="Q170" t="n">
        <v>4</v>
      </c>
      <c r="R170" s="2" t="inlineStr">
        <is>
          <t>Slåttergubbe
Jordtistel
Klasefibbla
Grönvit nattviol</t>
        </is>
      </c>
      <c r="S170">
        <f>HYPERLINK("https://klasma.github.io/Logging_1496/artfynd/A 13517-2024 artfynd.xlsx", "A 13517-2024")</f>
        <v/>
      </c>
      <c r="T170">
        <f>HYPERLINK("https://klasma.github.io/Logging_1496/kartor/A 13517-2024 karta.png", "A 13517-2024")</f>
        <v/>
      </c>
      <c r="V170">
        <f>HYPERLINK("https://klasma.github.io/Logging_1496/klagomål/A 13517-2024 FSC-klagomål.docx", "A 13517-2024")</f>
        <v/>
      </c>
      <c r="W170">
        <f>HYPERLINK("https://klasma.github.io/Logging_1496/klagomålsmail/A 13517-2024 FSC-klagomål mail.docx", "A 13517-2024")</f>
        <v/>
      </c>
      <c r="X170">
        <f>HYPERLINK("https://klasma.github.io/Logging_1496/tillsyn/A 13517-2024 tillsynsbegäran.docx", "A 13517-2024")</f>
        <v/>
      </c>
      <c r="Y170">
        <f>HYPERLINK("https://klasma.github.io/Logging_1496/tillsynsmail/A 13517-2024 tillsynsbegäran mail.docx", "A 13517-2024")</f>
        <v/>
      </c>
    </row>
    <row r="171" ht="15" customHeight="1">
      <c r="A171" t="inlineStr">
        <is>
          <t>A 13359-2024</t>
        </is>
      </c>
      <c r="B171" s="1" t="n">
        <v>45387</v>
      </c>
      <c r="C171" s="1" t="n">
        <v>45586</v>
      </c>
      <c r="D171" t="inlineStr">
        <is>
          <t>VÄSTRA GÖTALANDS LÄN</t>
        </is>
      </c>
      <c r="E171" t="inlineStr">
        <is>
          <t>KARLSBORG</t>
        </is>
      </c>
      <c r="F171" t="inlineStr">
        <is>
          <t>Övriga Aktiebolag</t>
        </is>
      </c>
      <c r="G171" t="n">
        <v>12.4</v>
      </c>
      <c r="H171" t="n">
        <v>3</v>
      </c>
      <c r="I171" t="n">
        <v>1</v>
      </c>
      <c r="J171" t="n">
        <v>1</v>
      </c>
      <c r="K171" t="n">
        <v>1</v>
      </c>
      <c r="L171" t="n">
        <v>0</v>
      </c>
      <c r="M171" t="n">
        <v>0</v>
      </c>
      <c r="N171" t="n">
        <v>0</v>
      </c>
      <c r="O171" t="n">
        <v>2</v>
      </c>
      <c r="P171" t="n">
        <v>1</v>
      </c>
      <c r="Q171" t="n">
        <v>4</v>
      </c>
      <c r="R171" s="2" t="inlineStr">
        <is>
          <t>Knärot
Spillkråka
Grönpyrola
Tjäder</t>
        </is>
      </c>
      <c r="S171">
        <f>HYPERLINK("https://klasma.github.io/Logging_1446/artfynd/A 13359-2024 artfynd.xlsx", "A 13359-2024")</f>
        <v/>
      </c>
      <c r="T171">
        <f>HYPERLINK("https://klasma.github.io/Logging_1446/kartor/A 13359-2024 karta.png", "A 13359-2024")</f>
        <v/>
      </c>
      <c r="U171">
        <f>HYPERLINK("https://klasma.github.io/Logging_1446/knärot/A 13359-2024 karta knärot.png", "A 13359-2024")</f>
        <v/>
      </c>
      <c r="V171">
        <f>HYPERLINK("https://klasma.github.io/Logging_1446/klagomål/A 13359-2024 FSC-klagomål.docx", "A 13359-2024")</f>
        <v/>
      </c>
      <c r="W171">
        <f>HYPERLINK("https://klasma.github.io/Logging_1446/klagomålsmail/A 13359-2024 FSC-klagomål mail.docx", "A 13359-2024")</f>
        <v/>
      </c>
      <c r="X171">
        <f>HYPERLINK("https://klasma.github.io/Logging_1446/tillsyn/A 13359-2024 tillsynsbegäran.docx", "A 13359-2024")</f>
        <v/>
      </c>
      <c r="Y171">
        <f>HYPERLINK("https://klasma.github.io/Logging_1446/tillsynsmail/A 13359-2024 tillsynsbegäran mail.docx", "A 13359-2024")</f>
        <v/>
      </c>
      <c r="Z171">
        <f>HYPERLINK("https://klasma.github.io/Logging_1446/fåglar/A 13359-2024 prioriterade fågelarter.docx", "A 13359-2024")</f>
        <v/>
      </c>
    </row>
    <row r="172" ht="15" customHeight="1">
      <c r="A172" t="inlineStr">
        <is>
          <t>A 14421-2024</t>
        </is>
      </c>
      <c r="B172" s="1" t="n">
        <v>45394</v>
      </c>
      <c r="C172" s="1" t="n">
        <v>45586</v>
      </c>
      <c r="D172" t="inlineStr">
        <is>
          <t>VÄSTRA GÖTALANDS LÄN</t>
        </is>
      </c>
      <c r="E172" t="inlineStr">
        <is>
          <t>HÄRRYDA</t>
        </is>
      </c>
      <c r="F172" t="inlineStr">
        <is>
          <t>Kommuner</t>
        </is>
      </c>
      <c r="G172" t="n">
        <v>9.4</v>
      </c>
      <c r="H172" t="n">
        <v>3</v>
      </c>
      <c r="I172" t="n">
        <v>1</v>
      </c>
      <c r="J172" t="n">
        <v>0</v>
      </c>
      <c r="K172" t="n">
        <v>0</v>
      </c>
      <c r="L172" t="n">
        <v>0</v>
      </c>
      <c r="M172" t="n">
        <v>0</v>
      </c>
      <c r="N172" t="n">
        <v>0</v>
      </c>
      <c r="O172" t="n">
        <v>0</v>
      </c>
      <c r="P172" t="n">
        <v>0</v>
      </c>
      <c r="Q172" t="n">
        <v>4</v>
      </c>
      <c r="R172" s="2" t="inlineStr">
        <is>
          <t>Björksplintborre
Tjäder
Lopplummer
Revlummer</t>
        </is>
      </c>
      <c r="S172">
        <f>HYPERLINK("https://klasma.github.io/Logging_1401/artfynd/A 14421-2024 artfynd.xlsx", "A 14421-2024")</f>
        <v/>
      </c>
      <c r="T172">
        <f>HYPERLINK("https://klasma.github.io/Logging_1401/kartor/A 14421-2024 karta.png", "A 14421-2024")</f>
        <v/>
      </c>
      <c r="V172">
        <f>HYPERLINK("https://klasma.github.io/Logging_1401/klagomål/A 14421-2024 FSC-klagomål.docx", "A 14421-2024")</f>
        <v/>
      </c>
      <c r="W172">
        <f>HYPERLINK("https://klasma.github.io/Logging_1401/klagomålsmail/A 14421-2024 FSC-klagomål mail.docx", "A 14421-2024")</f>
        <v/>
      </c>
      <c r="X172">
        <f>HYPERLINK("https://klasma.github.io/Logging_1401/tillsyn/A 14421-2024 tillsynsbegäran.docx", "A 14421-2024")</f>
        <v/>
      </c>
      <c r="Y172">
        <f>HYPERLINK("https://klasma.github.io/Logging_1401/tillsynsmail/A 14421-2024 tillsynsbegäran mail.docx", "A 14421-2024")</f>
        <v/>
      </c>
      <c r="Z172">
        <f>HYPERLINK("https://klasma.github.io/Logging_1401/fåglar/A 14421-2024 prioriterade fågelarter.docx", "A 14421-2024")</f>
        <v/>
      </c>
    </row>
    <row r="173" ht="15" customHeight="1">
      <c r="A173" t="inlineStr">
        <is>
          <t>A 14634-2024</t>
        </is>
      </c>
      <c r="B173" s="1" t="n">
        <v>45397</v>
      </c>
      <c r="C173" s="1" t="n">
        <v>45586</v>
      </c>
      <c r="D173" t="inlineStr">
        <is>
          <t>VÄSTRA GÖTALANDS LÄN</t>
        </is>
      </c>
      <c r="E173" t="inlineStr">
        <is>
          <t>BENGTSFORS</t>
        </is>
      </c>
      <c r="G173" t="n">
        <v>2.4</v>
      </c>
      <c r="H173" t="n">
        <v>2</v>
      </c>
      <c r="I173" t="n">
        <v>1</v>
      </c>
      <c r="J173" t="n">
        <v>2</v>
      </c>
      <c r="K173" t="n">
        <v>0</v>
      </c>
      <c r="L173" t="n">
        <v>0</v>
      </c>
      <c r="M173" t="n">
        <v>0</v>
      </c>
      <c r="N173" t="n">
        <v>0</v>
      </c>
      <c r="O173" t="n">
        <v>2</v>
      </c>
      <c r="P173" t="n">
        <v>0</v>
      </c>
      <c r="Q173" t="n">
        <v>4</v>
      </c>
      <c r="R173" s="2" t="inlineStr">
        <is>
          <t>Garnlav
Spillkråka
Blåmossa
Mattlummer</t>
        </is>
      </c>
      <c r="S173">
        <f>HYPERLINK("https://klasma.github.io/Logging_1460/artfynd/A 14634-2024 artfynd.xlsx", "A 14634-2024")</f>
        <v/>
      </c>
      <c r="T173">
        <f>HYPERLINK("https://klasma.github.io/Logging_1460/kartor/A 14634-2024 karta.png", "A 14634-2024")</f>
        <v/>
      </c>
      <c r="V173">
        <f>HYPERLINK("https://klasma.github.io/Logging_1460/klagomål/A 14634-2024 FSC-klagomål.docx", "A 14634-2024")</f>
        <v/>
      </c>
      <c r="W173">
        <f>HYPERLINK("https://klasma.github.io/Logging_1460/klagomålsmail/A 14634-2024 FSC-klagomål mail.docx", "A 14634-2024")</f>
        <v/>
      </c>
      <c r="X173">
        <f>HYPERLINK("https://klasma.github.io/Logging_1460/tillsyn/A 14634-2024 tillsynsbegäran.docx", "A 14634-2024")</f>
        <v/>
      </c>
      <c r="Y173">
        <f>HYPERLINK("https://klasma.github.io/Logging_1460/tillsynsmail/A 14634-2024 tillsynsbegäran mail.docx", "A 14634-2024")</f>
        <v/>
      </c>
      <c r="Z173">
        <f>HYPERLINK("https://klasma.github.io/Logging_1460/fåglar/A 14634-2024 prioriterade fågelarter.docx", "A 14634-2024")</f>
        <v/>
      </c>
    </row>
    <row r="174" ht="15" customHeight="1">
      <c r="A174" t="inlineStr">
        <is>
          <t>A 17537-2024</t>
        </is>
      </c>
      <c r="B174" s="1" t="n">
        <v>45415</v>
      </c>
      <c r="C174" s="1" t="n">
        <v>45586</v>
      </c>
      <c r="D174" t="inlineStr">
        <is>
          <t>VÄSTRA GÖTALANDS LÄN</t>
        </is>
      </c>
      <c r="E174" t="inlineStr">
        <is>
          <t>ESSUNGA</t>
        </is>
      </c>
      <c r="G174" t="n">
        <v>8.4</v>
      </c>
      <c r="H174" t="n">
        <v>4</v>
      </c>
      <c r="I174" t="n">
        <v>0</v>
      </c>
      <c r="J174" t="n">
        <v>0</v>
      </c>
      <c r="K174" t="n">
        <v>1</v>
      </c>
      <c r="L174" t="n">
        <v>0</v>
      </c>
      <c r="M174" t="n">
        <v>0</v>
      </c>
      <c r="N174" t="n">
        <v>0</v>
      </c>
      <c r="O174" t="n">
        <v>1</v>
      </c>
      <c r="P174" t="n">
        <v>1</v>
      </c>
      <c r="Q174" t="n">
        <v>4</v>
      </c>
      <c r="R174" s="2" t="inlineStr">
        <is>
          <t>Knärot
Fläcknycklar
Lopplummer
Mattlummer</t>
        </is>
      </c>
      <c r="S174">
        <f>HYPERLINK("https://klasma.github.io/Logging_1445/artfynd/A 17537-2024 artfynd.xlsx", "A 17537-2024")</f>
        <v/>
      </c>
      <c r="T174">
        <f>HYPERLINK("https://klasma.github.io/Logging_1445/kartor/A 17537-2024 karta.png", "A 17537-2024")</f>
        <v/>
      </c>
      <c r="U174">
        <f>HYPERLINK("https://klasma.github.io/Logging_1445/knärot/A 17537-2024 karta knärot.png", "A 17537-2024")</f>
        <v/>
      </c>
      <c r="V174">
        <f>HYPERLINK("https://klasma.github.io/Logging_1445/klagomål/A 17537-2024 FSC-klagomål.docx", "A 17537-2024")</f>
        <v/>
      </c>
      <c r="W174">
        <f>HYPERLINK("https://klasma.github.io/Logging_1445/klagomålsmail/A 17537-2024 FSC-klagomål mail.docx", "A 17537-2024")</f>
        <v/>
      </c>
      <c r="X174">
        <f>HYPERLINK("https://klasma.github.io/Logging_1445/tillsyn/A 17537-2024 tillsynsbegäran.docx", "A 17537-2024")</f>
        <v/>
      </c>
      <c r="Y174">
        <f>HYPERLINK("https://klasma.github.io/Logging_1445/tillsynsmail/A 17537-2024 tillsynsbegäran mail.docx", "A 17537-2024")</f>
        <v/>
      </c>
    </row>
    <row r="175" ht="15" customHeight="1">
      <c r="A175" t="inlineStr">
        <is>
          <t>A 23724-2024</t>
        </is>
      </c>
      <c r="B175" s="1" t="n">
        <v>45454</v>
      </c>
      <c r="C175" s="1" t="n">
        <v>45586</v>
      </c>
      <c r="D175" t="inlineStr">
        <is>
          <t>VÄSTRA GÖTALANDS LÄN</t>
        </is>
      </c>
      <c r="E175" t="inlineStr">
        <is>
          <t>FALKÖPING</t>
        </is>
      </c>
      <c r="G175" t="n">
        <v>10.4</v>
      </c>
      <c r="H175" t="n">
        <v>2</v>
      </c>
      <c r="I175" t="n">
        <v>1</v>
      </c>
      <c r="J175" t="n">
        <v>1</v>
      </c>
      <c r="K175" t="n">
        <v>1</v>
      </c>
      <c r="L175" t="n">
        <v>0</v>
      </c>
      <c r="M175" t="n">
        <v>0</v>
      </c>
      <c r="N175" t="n">
        <v>0</v>
      </c>
      <c r="O175" t="n">
        <v>2</v>
      </c>
      <c r="P175" t="n">
        <v>1</v>
      </c>
      <c r="Q175" t="n">
        <v>4</v>
      </c>
      <c r="R175" s="2" t="inlineStr">
        <is>
          <t>Plattsäv
Jordtistel
Korallrot
Grönvit nattviol</t>
        </is>
      </c>
      <c r="S175">
        <f>HYPERLINK("https://klasma.github.io/Logging_1499/artfynd/A 23724-2024 artfynd.xlsx", "A 23724-2024")</f>
        <v/>
      </c>
      <c r="T175">
        <f>HYPERLINK("https://klasma.github.io/Logging_1499/kartor/A 23724-2024 karta.png", "A 23724-2024")</f>
        <v/>
      </c>
      <c r="V175">
        <f>HYPERLINK("https://klasma.github.io/Logging_1499/klagomål/A 23724-2024 FSC-klagomål.docx", "A 23724-2024")</f>
        <v/>
      </c>
      <c r="W175">
        <f>HYPERLINK("https://klasma.github.io/Logging_1499/klagomålsmail/A 23724-2024 FSC-klagomål mail.docx", "A 23724-2024")</f>
        <v/>
      </c>
      <c r="X175">
        <f>HYPERLINK("https://klasma.github.io/Logging_1499/tillsyn/A 23724-2024 tillsynsbegäran.docx", "A 23724-2024")</f>
        <v/>
      </c>
      <c r="Y175">
        <f>HYPERLINK("https://klasma.github.io/Logging_1499/tillsynsmail/A 23724-2024 tillsynsbegäran mail.docx", "A 23724-2024")</f>
        <v/>
      </c>
    </row>
    <row r="176" ht="15" customHeight="1">
      <c r="A176" t="inlineStr">
        <is>
          <t>A 25728-2024</t>
        </is>
      </c>
      <c r="B176" s="1" t="n">
        <v>45464</v>
      </c>
      <c r="C176" s="1" t="n">
        <v>45586</v>
      </c>
      <c r="D176" t="inlineStr">
        <is>
          <t>VÄSTRA GÖTALANDS LÄN</t>
        </is>
      </c>
      <c r="E176" t="inlineStr">
        <is>
          <t>BENGTSFORS</t>
        </is>
      </c>
      <c r="G176" t="n">
        <v>1.9</v>
      </c>
      <c r="H176" t="n">
        <v>0</v>
      </c>
      <c r="I176" t="n">
        <v>3</v>
      </c>
      <c r="J176" t="n">
        <v>0</v>
      </c>
      <c r="K176" t="n">
        <v>1</v>
      </c>
      <c r="L176" t="n">
        <v>0</v>
      </c>
      <c r="M176" t="n">
        <v>0</v>
      </c>
      <c r="N176" t="n">
        <v>0</v>
      </c>
      <c r="O176" t="n">
        <v>1</v>
      </c>
      <c r="P176" t="n">
        <v>1</v>
      </c>
      <c r="Q176" t="n">
        <v>4</v>
      </c>
      <c r="R176" s="2" t="inlineStr">
        <is>
          <t>Jättemusseron
Blomkålssvamp
Mindre märgborre
Vågbandad barkbock</t>
        </is>
      </c>
      <c r="S176">
        <f>HYPERLINK("https://klasma.github.io/Logging_1460/artfynd/A 25728-2024 artfynd.xlsx", "A 25728-2024")</f>
        <v/>
      </c>
      <c r="T176">
        <f>HYPERLINK("https://klasma.github.io/Logging_1460/kartor/A 25728-2024 karta.png", "A 25728-2024")</f>
        <v/>
      </c>
      <c r="V176">
        <f>HYPERLINK("https://klasma.github.io/Logging_1460/klagomål/A 25728-2024 FSC-klagomål.docx", "A 25728-2024")</f>
        <v/>
      </c>
      <c r="W176">
        <f>HYPERLINK("https://klasma.github.io/Logging_1460/klagomålsmail/A 25728-2024 FSC-klagomål mail.docx", "A 25728-2024")</f>
        <v/>
      </c>
      <c r="X176">
        <f>HYPERLINK("https://klasma.github.io/Logging_1460/tillsyn/A 25728-2024 tillsynsbegäran.docx", "A 25728-2024")</f>
        <v/>
      </c>
      <c r="Y176">
        <f>HYPERLINK("https://klasma.github.io/Logging_1460/tillsynsmail/A 25728-2024 tillsynsbegäran mail.docx", "A 25728-2024")</f>
        <v/>
      </c>
    </row>
    <row r="177" ht="15" customHeight="1">
      <c r="A177" t="inlineStr">
        <is>
          <t>A 26491-2024</t>
        </is>
      </c>
      <c r="B177" s="1" t="n">
        <v>45469</v>
      </c>
      <c r="C177" s="1" t="n">
        <v>45586</v>
      </c>
      <c r="D177" t="inlineStr">
        <is>
          <t>VÄSTRA GÖTALANDS LÄN</t>
        </is>
      </c>
      <c r="E177" t="inlineStr">
        <is>
          <t>ALE</t>
        </is>
      </c>
      <c r="G177" t="n">
        <v>5.3</v>
      </c>
      <c r="H177" t="n">
        <v>1</v>
      </c>
      <c r="I177" t="n">
        <v>3</v>
      </c>
      <c r="J177" t="n">
        <v>1</v>
      </c>
      <c r="K177" t="n">
        <v>0</v>
      </c>
      <c r="L177" t="n">
        <v>0</v>
      </c>
      <c r="M177" t="n">
        <v>0</v>
      </c>
      <c r="N177" t="n">
        <v>0</v>
      </c>
      <c r="O177" t="n">
        <v>1</v>
      </c>
      <c r="P177" t="n">
        <v>0</v>
      </c>
      <c r="Q177" t="n">
        <v>4</v>
      </c>
      <c r="R177" s="2" t="inlineStr">
        <is>
          <t>Duvhök
Gulpudrad spiklav
Rostfläck
Sotlav</t>
        </is>
      </c>
      <c r="S177">
        <f>HYPERLINK("https://klasma.github.io/Logging_1440/artfynd/A 26491-2024 artfynd.xlsx", "A 26491-2024")</f>
        <v/>
      </c>
      <c r="T177">
        <f>HYPERLINK("https://klasma.github.io/Logging_1440/kartor/A 26491-2024 karta.png", "A 26491-2024")</f>
        <v/>
      </c>
      <c r="V177">
        <f>HYPERLINK("https://klasma.github.io/Logging_1440/klagomål/A 26491-2024 FSC-klagomål.docx", "A 26491-2024")</f>
        <v/>
      </c>
      <c r="W177">
        <f>HYPERLINK("https://klasma.github.io/Logging_1440/klagomålsmail/A 26491-2024 FSC-klagomål mail.docx", "A 26491-2024")</f>
        <v/>
      </c>
      <c r="X177">
        <f>HYPERLINK("https://klasma.github.io/Logging_1440/tillsyn/A 26491-2024 tillsynsbegäran.docx", "A 26491-2024")</f>
        <v/>
      </c>
      <c r="Y177">
        <f>HYPERLINK("https://klasma.github.io/Logging_1440/tillsynsmail/A 26491-2024 tillsynsbegäran mail.docx", "A 26491-2024")</f>
        <v/>
      </c>
      <c r="Z177">
        <f>HYPERLINK("https://klasma.github.io/Logging_1440/fåglar/A 26491-2024 prioriterade fågelarter.docx", "A 26491-2024")</f>
        <v/>
      </c>
    </row>
    <row r="178" ht="15" customHeight="1">
      <c r="A178" t="inlineStr">
        <is>
          <t>A 34634-2024</t>
        </is>
      </c>
      <c r="B178" s="1" t="n">
        <v>45526</v>
      </c>
      <c r="C178" s="1" t="n">
        <v>45586</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39874-2024</t>
        </is>
      </c>
      <c r="B179" s="1" t="n">
        <v>45553</v>
      </c>
      <c r="C179" s="1" t="n">
        <v>45586</v>
      </c>
      <c r="D179" t="inlineStr">
        <is>
          <t>VÄSTRA GÖTALANDS LÄN</t>
        </is>
      </c>
      <c r="E179" t="inlineStr">
        <is>
          <t>FÄRGELANDA</t>
        </is>
      </c>
      <c r="G179" t="n">
        <v>5.7</v>
      </c>
      <c r="H179" t="n">
        <v>4</v>
      </c>
      <c r="I179" t="n">
        <v>1</v>
      </c>
      <c r="J179" t="n">
        <v>0</v>
      </c>
      <c r="K179" t="n">
        <v>1</v>
      </c>
      <c r="L179" t="n">
        <v>0</v>
      </c>
      <c r="M179" t="n">
        <v>0</v>
      </c>
      <c r="N179" t="n">
        <v>0</v>
      </c>
      <c r="O179" t="n">
        <v>1</v>
      </c>
      <c r="P179" t="n">
        <v>1</v>
      </c>
      <c r="Q179" t="n">
        <v>4</v>
      </c>
      <c r="R179" s="2" t="inlineStr">
        <is>
          <t>Hasselsnok
Skogsknipprot
Huggorm
Skogsödla</t>
        </is>
      </c>
      <c r="S179">
        <f>HYPERLINK("https://klasma.github.io/Logging_1439/artfynd/A 39874-2024 artfynd.xlsx", "A 39874-2024")</f>
        <v/>
      </c>
      <c r="T179">
        <f>HYPERLINK("https://klasma.github.io/Logging_1439/kartor/A 39874-2024 karta.png", "A 39874-2024")</f>
        <v/>
      </c>
      <c r="V179">
        <f>HYPERLINK("https://klasma.github.io/Logging_1439/klagomål/A 39874-2024 FSC-klagomål.docx", "A 39874-2024")</f>
        <v/>
      </c>
      <c r="W179">
        <f>HYPERLINK("https://klasma.github.io/Logging_1439/klagomålsmail/A 39874-2024 FSC-klagomål mail.docx", "A 39874-2024")</f>
        <v/>
      </c>
      <c r="X179">
        <f>HYPERLINK("https://klasma.github.io/Logging_1439/tillsyn/A 39874-2024 tillsynsbegäran.docx", "A 39874-2024")</f>
        <v/>
      </c>
      <c r="Y179">
        <f>HYPERLINK("https://klasma.github.io/Logging_1439/tillsynsmail/A 39874-2024 tillsynsbegäran mail.docx", "A 39874-2024")</f>
        <v/>
      </c>
    </row>
    <row r="180" ht="15" customHeight="1">
      <c r="A180" t="inlineStr">
        <is>
          <t>A 18975-2019</t>
        </is>
      </c>
      <c r="B180" s="1" t="n">
        <v>43563</v>
      </c>
      <c r="C180" s="1" t="n">
        <v>45586</v>
      </c>
      <c r="D180" t="inlineStr">
        <is>
          <t>VÄSTRA GÖTALANDS LÄN</t>
        </is>
      </c>
      <c r="E180" t="inlineStr">
        <is>
          <t>HÄRRYDA</t>
        </is>
      </c>
      <c r="G180" t="n">
        <v>0.7</v>
      </c>
      <c r="H180" t="n">
        <v>3</v>
      </c>
      <c r="I180" t="n">
        <v>0</v>
      </c>
      <c r="J180" t="n">
        <v>0</v>
      </c>
      <c r="K180" t="n">
        <v>1</v>
      </c>
      <c r="L180" t="n">
        <v>1</v>
      </c>
      <c r="M180" t="n">
        <v>0</v>
      </c>
      <c r="N180" t="n">
        <v>0</v>
      </c>
      <c r="O180" t="n">
        <v>2</v>
      </c>
      <c r="P180" t="n">
        <v>2</v>
      </c>
      <c r="Q180" t="n">
        <v>3</v>
      </c>
      <c r="R180" s="2" t="inlineStr">
        <is>
          <t>Grönfink
Stare
Vanlig groda</t>
        </is>
      </c>
      <c r="S180">
        <f>HYPERLINK("https://klasma.github.io/Logging_1401/artfynd/A 18975-2019 artfynd.xlsx", "A 18975-2019")</f>
        <v/>
      </c>
      <c r="T180">
        <f>HYPERLINK("https://klasma.github.io/Logging_1401/kartor/A 18975-2019 karta.png", "A 18975-2019")</f>
        <v/>
      </c>
      <c r="V180">
        <f>HYPERLINK("https://klasma.github.io/Logging_1401/klagomål/A 18975-2019 FSC-klagomål.docx", "A 18975-2019")</f>
        <v/>
      </c>
      <c r="W180">
        <f>HYPERLINK("https://klasma.github.io/Logging_1401/klagomålsmail/A 18975-2019 FSC-klagomål mail.docx", "A 18975-2019")</f>
        <v/>
      </c>
      <c r="X180">
        <f>HYPERLINK("https://klasma.github.io/Logging_1401/tillsyn/A 18975-2019 tillsynsbegäran.docx", "A 18975-2019")</f>
        <v/>
      </c>
      <c r="Y180">
        <f>HYPERLINK("https://klasma.github.io/Logging_1401/tillsynsmail/A 18975-2019 tillsynsbegäran mail.docx", "A 18975-2019")</f>
        <v/>
      </c>
      <c r="Z180">
        <f>HYPERLINK("https://klasma.github.io/Logging_1401/fåglar/A 18975-2019 prioriterade fågelarter.docx", "A 18975-2019")</f>
        <v/>
      </c>
    </row>
    <row r="181" ht="15" customHeight="1">
      <c r="A181" t="inlineStr">
        <is>
          <t>A 19823-2019</t>
        </is>
      </c>
      <c r="B181" s="1" t="n">
        <v>43567</v>
      </c>
      <c r="C181" s="1" t="n">
        <v>45586</v>
      </c>
      <c r="D181" t="inlineStr">
        <is>
          <t>VÄSTRA GÖTALANDS LÄN</t>
        </is>
      </c>
      <c r="E181" t="inlineStr">
        <is>
          <t>HÄRRYDA</t>
        </is>
      </c>
      <c r="G181" t="n">
        <v>1.8</v>
      </c>
      <c r="H181" t="n">
        <v>2</v>
      </c>
      <c r="I181" t="n">
        <v>1</v>
      </c>
      <c r="J181" t="n">
        <v>0</v>
      </c>
      <c r="K181" t="n">
        <v>0</v>
      </c>
      <c r="L181" t="n">
        <v>0</v>
      </c>
      <c r="M181" t="n">
        <v>0</v>
      </c>
      <c r="N181" t="n">
        <v>0</v>
      </c>
      <c r="O181" t="n">
        <v>0</v>
      </c>
      <c r="P181" t="n">
        <v>0</v>
      </c>
      <c r="Q181" t="n">
        <v>3</v>
      </c>
      <c r="R181" s="2" t="inlineStr">
        <is>
          <t>Kattfotslav
Åkergroda
Vanlig padda</t>
        </is>
      </c>
      <c r="S181">
        <f>HYPERLINK("https://klasma.github.io/Logging_1401/artfynd/A 19823-2019 artfynd.xlsx", "A 19823-2019")</f>
        <v/>
      </c>
      <c r="T181">
        <f>HYPERLINK("https://klasma.github.io/Logging_1401/kartor/A 19823-2019 karta.png", "A 19823-2019")</f>
        <v/>
      </c>
      <c r="V181">
        <f>HYPERLINK("https://klasma.github.io/Logging_1401/klagomål/A 19823-2019 FSC-klagomål.docx", "A 19823-2019")</f>
        <v/>
      </c>
      <c r="W181">
        <f>HYPERLINK("https://klasma.github.io/Logging_1401/klagomålsmail/A 19823-2019 FSC-klagomål mail.docx", "A 19823-2019")</f>
        <v/>
      </c>
      <c r="X181">
        <f>HYPERLINK("https://klasma.github.io/Logging_1401/tillsyn/A 19823-2019 tillsynsbegäran.docx", "A 19823-2019")</f>
        <v/>
      </c>
      <c r="Y181">
        <f>HYPERLINK("https://klasma.github.io/Logging_1401/tillsynsmail/A 19823-2019 tillsynsbegäran mail.docx", "A 19823-2019")</f>
        <v/>
      </c>
    </row>
    <row r="182" ht="15" customHeight="1">
      <c r="A182" t="inlineStr">
        <is>
          <t>A 25131-2019</t>
        </is>
      </c>
      <c r="B182" s="1" t="n">
        <v>43605</v>
      </c>
      <c r="C182" s="1" t="n">
        <v>45586</v>
      </c>
      <c r="D182" t="inlineStr">
        <is>
          <t>VÄSTRA GÖTALANDS LÄN</t>
        </is>
      </c>
      <c r="E182" t="inlineStr">
        <is>
          <t>KUNGÄLV</t>
        </is>
      </c>
      <c r="G182" t="n">
        <v>14.5</v>
      </c>
      <c r="H182" t="n">
        <v>0</v>
      </c>
      <c r="I182" t="n">
        <v>1</v>
      </c>
      <c r="J182" t="n">
        <v>1</v>
      </c>
      <c r="K182" t="n">
        <v>0</v>
      </c>
      <c r="L182" t="n">
        <v>1</v>
      </c>
      <c r="M182" t="n">
        <v>0</v>
      </c>
      <c r="N182" t="n">
        <v>0</v>
      </c>
      <c r="O182" t="n">
        <v>2</v>
      </c>
      <c r="P182" t="n">
        <v>1</v>
      </c>
      <c r="Q182" t="n">
        <v>3</v>
      </c>
      <c r="R182" s="2" t="inlineStr">
        <is>
          <t>Ask
Naggbjörnbär
Stenporella</t>
        </is>
      </c>
      <c r="S182">
        <f>HYPERLINK("https://klasma.github.io/Logging_1482/artfynd/A 25131-2019 artfynd.xlsx", "A 25131-2019")</f>
        <v/>
      </c>
      <c r="T182">
        <f>HYPERLINK("https://klasma.github.io/Logging_1482/kartor/A 25131-2019 karta.png", "A 25131-2019")</f>
        <v/>
      </c>
      <c r="V182">
        <f>HYPERLINK("https://klasma.github.io/Logging_1482/klagomål/A 25131-2019 FSC-klagomål.docx", "A 25131-2019")</f>
        <v/>
      </c>
      <c r="W182">
        <f>HYPERLINK("https://klasma.github.io/Logging_1482/klagomålsmail/A 25131-2019 FSC-klagomål mail.docx", "A 25131-2019")</f>
        <v/>
      </c>
      <c r="X182">
        <f>HYPERLINK("https://klasma.github.io/Logging_1482/tillsyn/A 25131-2019 tillsynsbegäran.docx", "A 25131-2019")</f>
        <v/>
      </c>
      <c r="Y182">
        <f>HYPERLINK("https://klasma.github.io/Logging_1482/tillsynsmail/A 25131-2019 tillsynsbegäran mail.docx", "A 25131-2019")</f>
        <v/>
      </c>
    </row>
    <row r="183" ht="15" customHeight="1">
      <c r="A183" t="inlineStr">
        <is>
          <t>A 29458-2019</t>
        </is>
      </c>
      <c r="B183" s="1" t="n">
        <v>43629</v>
      </c>
      <c r="C183" s="1" t="n">
        <v>45586</v>
      </c>
      <c r="D183" t="inlineStr">
        <is>
          <t>VÄSTRA GÖTALANDS LÄN</t>
        </is>
      </c>
      <c r="E183" t="inlineStr">
        <is>
          <t>SKARA</t>
        </is>
      </c>
      <c r="F183" t="inlineStr">
        <is>
          <t>Övriga statliga verk och myndigheter</t>
        </is>
      </c>
      <c r="G183" t="n">
        <v>9.699999999999999</v>
      </c>
      <c r="H183" t="n">
        <v>2</v>
      </c>
      <c r="I183" t="n">
        <v>1</v>
      </c>
      <c r="J183" t="n">
        <v>0</v>
      </c>
      <c r="K183" t="n">
        <v>0</v>
      </c>
      <c r="L183" t="n">
        <v>0</v>
      </c>
      <c r="M183" t="n">
        <v>0</v>
      </c>
      <c r="N183" t="n">
        <v>0</v>
      </c>
      <c r="O183" t="n">
        <v>0</v>
      </c>
      <c r="P183" t="n">
        <v>0</v>
      </c>
      <c r="Q183" t="n">
        <v>3</v>
      </c>
      <c r="R183" s="2" t="inlineStr">
        <is>
          <t>Kambräken
Mattlummer
Revlummer</t>
        </is>
      </c>
      <c r="S183">
        <f>HYPERLINK("https://klasma.github.io/Logging_1495/artfynd/A 29458-2019 artfynd.xlsx", "A 29458-2019")</f>
        <v/>
      </c>
      <c r="T183">
        <f>HYPERLINK("https://klasma.github.io/Logging_1495/kartor/A 29458-2019 karta.png", "A 29458-2019")</f>
        <v/>
      </c>
      <c r="V183">
        <f>HYPERLINK("https://klasma.github.io/Logging_1495/klagomål/A 29458-2019 FSC-klagomål.docx", "A 29458-2019")</f>
        <v/>
      </c>
      <c r="W183">
        <f>HYPERLINK("https://klasma.github.io/Logging_1495/klagomålsmail/A 29458-2019 FSC-klagomål mail.docx", "A 29458-2019")</f>
        <v/>
      </c>
      <c r="X183">
        <f>HYPERLINK("https://klasma.github.io/Logging_1495/tillsyn/A 29458-2019 tillsynsbegäran.docx", "A 29458-2019")</f>
        <v/>
      </c>
      <c r="Y183">
        <f>HYPERLINK("https://klasma.github.io/Logging_1495/tillsynsmail/A 29458-2019 tillsynsbegäran mail.docx", "A 29458-2019")</f>
        <v/>
      </c>
    </row>
    <row r="184" ht="15" customHeight="1">
      <c r="A184" t="inlineStr">
        <is>
          <t>A 30913-2019</t>
        </is>
      </c>
      <c r="B184" s="1" t="n">
        <v>43636</v>
      </c>
      <c r="C184" s="1" t="n">
        <v>45586</v>
      </c>
      <c r="D184" t="inlineStr">
        <is>
          <t>VÄSTRA GÖTALANDS LÄN</t>
        </is>
      </c>
      <c r="E184" t="inlineStr">
        <is>
          <t>FÄRGELANDA</t>
        </is>
      </c>
      <c r="G184" t="n">
        <v>37.2</v>
      </c>
      <c r="H184" t="n">
        <v>0</v>
      </c>
      <c r="I184" t="n">
        <v>3</v>
      </c>
      <c r="J184" t="n">
        <v>0</v>
      </c>
      <c r="K184" t="n">
        <v>0</v>
      </c>
      <c r="L184" t="n">
        <v>0</v>
      </c>
      <c r="M184" t="n">
        <v>0</v>
      </c>
      <c r="N184" t="n">
        <v>0</v>
      </c>
      <c r="O184" t="n">
        <v>0</v>
      </c>
      <c r="P184" t="n">
        <v>0</v>
      </c>
      <c r="Q184" t="n">
        <v>3</v>
      </c>
      <c r="R184" s="2" t="inlineStr">
        <is>
          <t>Klippfrullania
Skogshakmossa
Svart trolldruva</t>
        </is>
      </c>
      <c r="S184">
        <f>HYPERLINK("https://klasma.github.io/Logging_1439/artfynd/A 30913-2019 artfynd.xlsx", "A 30913-2019")</f>
        <v/>
      </c>
      <c r="T184">
        <f>HYPERLINK("https://klasma.github.io/Logging_1439/kartor/A 30913-2019 karta.png", "A 30913-2019")</f>
        <v/>
      </c>
      <c r="V184">
        <f>HYPERLINK("https://klasma.github.io/Logging_1439/klagomål/A 30913-2019 FSC-klagomål.docx", "A 30913-2019")</f>
        <v/>
      </c>
      <c r="W184">
        <f>HYPERLINK("https://klasma.github.io/Logging_1439/klagomålsmail/A 30913-2019 FSC-klagomål mail.docx", "A 30913-2019")</f>
        <v/>
      </c>
      <c r="X184">
        <f>HYPERLINK("https://klasma.github.io/Logging_1439/tillsyn/A 30913-2019 tillsynsbegäran.docx", "A 30913-2019")</f>
        <v/>
      </c>
      <c r="Y184">
        <f>HYPERLINK("https://klasma.github.io/Logging_1439/tillsynsmail/A 30913-2019 tillsynsbegäran mail.docx", "A 30913-2019")</f>
        <v/>
      </c>
    </row>
    <row r="185" ht="15" customHeight="1">
      <c r="A185" t="inlineStr">
        <is>
          <t>A 33148-2019</t>
        </is>
      </c>
      <c r="B185" s="1" t="n">
        <v>43649</v>
      </c>
      <c r="C185" s="1" t="n">
        <v>45586</v>
      </c>
      <c r="D185" t="inlineStr">
        <is>
          <t>VÄSTRA GÖTALANDS LÄN</t>
        </is>
      </c>
      <c r="E185" t="inlineStr">
        <is>
          <t>KUNGÄLV</t>
        </is>
      </c>
      <c r="G185" t="n">
        <v>0.7</v>
      </c>
      <c r="H185" t="n">
        <v>0</v>
      </c>
      <c r="I185" t="n">
        <v>0</v>
      </c>
      <c r="J185" t="n">
        <v>1</v>
      </c>
      <c r="K185" t="n">
        <v>1</v>
      </c>
      <c r="L185" t="n">
        <v>0</v>
      </c>
      <c r="M185" t="n">
        <v>1</v>
      </c>
      <c r="N185" t="n">
        <v>0</v>
      </c>
      <c r="O185" t="n">
        <v>3</v>
      </c>
      <c r="P185" t="n">
        <v>2</v>
      </c>
      <c r="Q185" t="n">
        <v>3</v>
      </c>
      <c r="R185" s="2" t="inlineStr">
        <is>
          <t>Bohuslind
Färgginst
Kavelhirs</t>
        </is>
      </c>
      <c r="S185">
        <f>HYPERLINK("https://klasma.github.io/Logging_1482/artfynd/A 33148-2019 artfynd.xlsx", "A 33148-2019")</f>
        <v/>
      </c>
      <c r="T185">
        <f>HYPERLINK("https://klasma.github.io/Logging_1482/kartor/A 33148-2019 karta.png", "A 33148-2019")</f>
        <v/>
      </c>
      <c r="V185">
        <f>HYPERLINK("https://klasma.github.io/Logging_1482/klagomål/A 33148-2019 FSC-klagomål.docx", "A 33148-2019")</f>
        <v/>
      </c>
      <c r="W185">
        <f>HYPERLINK("https://klasma.github.io/Logging_1482/klagomålsmail/A 33148-2019 FSC-klagomål mail.docx", "A 33148-2019")</f>
        <v/>
      </c>
      <c r="X185">
        <f>HYPERLINK("https://klasma.github.io/Logging_1482/tillsyn/A 33148-2019 tillsynsbegäran.docx", "A 33148-2019")</f>
        <v/>
      </c>
      <c r="Y185">
        <f>HYPERLINK("https://klasma.github.io/Logging_1482/tillsynsmail/A 33148-2019 tillsynsbegäran mail.docx", "A 33148-2019")</f>
        <v/>
      </c>
    </row>
    <row r="186" ht="15" customHeight="1">
      <c r="A186" t="inlineStr">
        <is>
          <t>A 34860-2019</t>
        </is>
      </c>
      <c r="B186" s="1" t="n">
        <v>43658</v>
      </c>
      <c r="C186" s="1" t="n">
        <v>45586</v>
      </c>
      <c r="D186" t="inlineStr">
        <is>
          <t>VÄSTRA GÖTALANDS LÄN</t>
        </is>
      </c>
      <c r="E186" t="inlineStr">
        <is>
          <t>STRÖMSTAD</t>
        </is>
      </c>
      <c r="G186" t="n">
        <v>11.5</v>
      </c>
      <c r="H186" t="n">
        <v>0</v>
      </c>
      <c r="I186" t="n">
        <v>3</v>
      </c>
      <c r="J186" t="n">
        <v>0</v>
      </c>
      <c r="K186" t="n">
        <v>0</v>
      </c>
      <c r="L186" t="n">
        <v>0</v>
      </c>
      <c r="M186" t="n">
        <v>0</v>
      </c>
      <c r="N186" t="n">
        <v>0</v>
      </c>
      <c r="O186" t="n">
        <v>0</v>
      </c>
      <c r="P186" t="n">
        <v>0</v>
      </c>
      <c r="Q186" t="n">
        <v>3</v>
      </c>
      <c r="R186" s="2" t="inlineStr">
        <is>
          <t>Blåmossa
Dvärghäxört
Springkorn</t>
        </is>
      </c>
      <c r="S186">
        <f>HYPERLINK("https://klasma.github.io/Logging_1486/artfynd/A 34860-2019 artfynd.xlsx", "A 34860-2019")</f>
        <v/>
      </c>
      <c r="T186">
        <f>HYPERLINK("https://klasma.github.io/Logging_1486/kartor/A 34860-2019 karta.png", "A 34860-2019")</f>
        <v/>
      </c>
      <c r="V186">
        <f>HYPERLINK("https://klasma.github.io/Logging_1486/klagomål/A 34860-2019 FSC-klagomål.docx", "A 34860-2019")</f>
        <v/>
      </c>
      <c r="W186">
        <f>HYPERLINK("https://klasma.github.io/Logging_1486/klagomålsmail/A 34860-2019 FSC-klagomål mail.docx", "A 34860-2019")</f>
        <v/>
      </c>
      <c r="X186">
        <f>HYPERLINK("https://klasma.github.io/Logging_1486/tillsyn/A 34860-2019 tillsynsbegäran.docx", "A 34860-2019")</f>
        <v/>
      </c>
      <c r="Y186">
        <f>HYPERLINK("https://klasma.github.io/Logging_1486/tillsynsmail/A 34860-2019 tillsynsbegäran mail.docx", "A 34860-2019")</f>
        <v/>
      </c>
    </row>
    <row r="187" ht="15" customHeight="1">
      <c r="A187" t="inlineStr">
        <is>
          <t>A 39255-2019</t>
        </is>
      </c>
      <c r="B187" s="1" t="n">
        <v>43690</v>
      </c>
      <c r="C187" s="1" t="n">
        <v>45586</v>
      </c>
      <c r="D187" t="inlineStr">
        <is>
          <t>VÄSTRA GÖTALANDS LÄN</t>
        </is>
      </c>
      <c r="E187" t="inlineStr">
        <is>
          <t>GÖTEBORG</t>
        </is>
      </c>
      <c r="G187" t="n">
        <v>17.5</v>
      </c>
      <c r="H187" t="n">
        <v>3</v>
      </c>
      <c r="I187" t="n">
        <v>0</v>
      </c>
      <c r="J187" t="n">
        <v>2</v>
      </c>
      <c r="K187" t="n">
        <v>1</v>
      </c>
      <c r="L187" t="n">
        <v>0</v>
      </c>
      <c r="M187" t="n">
        <v>0</v>
      </c>
      <c r="N187" t="n">
        <v>0</v>
      </c>
      <c r="O187" t="n">
        <v>3</v>
      </c>
      <c r="P187" t="n">
        <v>1</v>
      </c>
      <c r="Q187" t="n">
        <v>3</v>
      </c>
      <c r="R187" s="2" t="inlineStr">
        <is>
          <t>Stare
Entita
Gulsparv</t>
        </is>
      </c>
      <c r="S187">
        <f>HYPERLINK("https://klasma.github.io/Logging_1480/artfynd/A 39255-2019 artfynd.xlsx", "A 39255-2019")</f>
        <v/>
      </c>
      <c r="T187">
        <f>HYPERLINK("https://klasma.github.io/Logging_1480/kartor/A 39255-2019 karta.png", "A 39255-2019")</f>
        <v/>
      </c>
      <c r="V187">
        <f>HYPERLINK("https://klasma.github.io/Logging_1480/klagomål/A 39255-2019 FSC-klagomål.docx", "A 39255-2019")</f>
        <v/>
      </c>
      <c r="W187">
        <f>HYPERLINK("https://klasma.github.io/Logging_1480/klagomålsmail/A 39255-2019 FSC-klagomål mail.docx", "A 39255-2019")</f>
        <v/>
      </c>
      <c r="X187">
        <f>HYPERLINK("https://klasma.github.io/Logging_1480/tillsyn/A 39255-2019 tillsynsbegäran.docx", "A 39255-2019")</f>
        <v/>
      </c>
      <c r="Y187">
        <f>HYPERLINK("https://klasma.github.io/Logging_1480/tillsynsmail/A 39255-2019 tillsynsbegäran mail.docx", "A 39255-2019")</f>
        <v/>
      </c>
      <c r="Z187">
        <f>HYPERLINK("https://klasma.github.io/Logging_1480/fåglar/A 39255-2019 prioriterade fågelarter.docx", "A 39255-2019")</f>
        <v/>
      </c>
    </row>
    <row r="188" ht="15" customHeight="1">
      <c r="A188" t="inlineStr">
        <is>
          <t>A 45791-2019</t>
        </is>
      </c>
      <c r="B188" s="1" t="n">
        <v>43717</v>
      </c>
      <c r="C188" s="1" t="n">
        <v>45586</v>
      </c>
      <c r="D188" t="inlineStr">
        <is>
          <t>VÄSTRA GÖTALANDS LÄN</t>
        </is>
      </c>
      <c r="E188" t="inlineStr">
        <is>
          <t>HERRLJUNGA</t>
        </is>
      </c>
      <c r="F188" t="inlineStr">
        <is>
          <t>Kommuner</t>
        </is>
      </c>
      <c r="G188" t="n">
        <v>3.1</v>
      </c>
      <c r="H188" t="n">
        <v>1</v>
      </c>
      <c r="I188" t="n">
        <v>1</v>
      </c>
      <c r="J188" t="n">
        <v>0</v>
      </c>
      <c r="K188" t="n">
        <v>1</v>
      </c>
      <c r="L188" t="n">
        <v>0</v>
      </c>
      <c r="M188" t="n">
        <v>0</v>
      </c>
      <c r="N188" t="n">
        <v>0</v>
      </c>
      <c r="O188" t="n">
        <v>1</v>
      </c>
      <c r="P188" t="n">
        <v>1</v>
      </c>
      <c r="Q188" t="n">
        <v>3</v>
      </c>
      <c r="R188" s="2" t="inlineStr">
        <is>
          <t>Fläcklungört
Strutbräken
Mindre vattensalamander</t>
        </is>
      </c>
      <c r="S188">
        <f>HYPERLINK("https://klasma.github.io/Logging_1466/artfynd/A 45791-2019 artfynd.xlsx", "A 45791-2019")</f>
        <v/>
      </c>
      <c r="T188">
        <f>HYPERLINK("https://klasma.github.io/Logging_1466/kartor/A 45791-2019 karta.png", "A 45791-2019")</f>
        <v/>
      </c>
      <c r="V188">
        <f>HYPERLINK("https://klasma.github.io/Logging_1466/klagomål/A 45791-2019 FSC-klagomål.docx", "A 45791-2019")</f>
        <v/>
      </c>
      <c r="W188">
        <f>HYPERLINK("https://klasma.github.io/Logging_1466/klagomålsmail/A 45791-2019 FSC-klagomål mail.docx", "A 45791-2019")</f>
        <v/>
      </c>
      <c r="X188">
        <f>HYPERLINK("https://klasma.github.io/Logging_1466/tillsyn/A 45791-2019 tillsynsbegäran.docx", "A 45791-2019")</f>
        <v/>
      </c>
      <c r="Y188">
        <f>HYPERLINK("https://klasma.github.io/Logging_1466/tillsynsmail/A 45791-2019 tillsynsbegäran mail.docx", "A 45791-2019")</f>
        <v/>
      </c>
    </row>
    <row r="189" ht="15" customHeight="1">
      <c r="A189" t="inlineStr">
        <is>
          <t>A 49533-2019</t>
        </is>
      </c>
      <c r="B189" s="1" t="n">
        <v>43732</v>
      </c>
      <c r="C189" s="1" t="n">
        <v>45586</v>
      </c>
      <c r="D189" t="inlineStr">
        <is>
          <t>VÄSTRA GÖTALANDS LÄN</t>
        </is>
      </c>
      <c r="E189" t="inlineStr">
        <is>
          <t>ÅMÅL</t>
        </is>
      </c>
      <c r="G189" t="n">
        <v>3.3</v>
      </c>
      <c r="H189" t="n">
        <v>2</v>
      </c>
      <c r="I189" t="n">
        <v>1</v>
      </c>
      <c r="J189" t="n">
        <v>1</v>
      </c>
      <c r="K189" t="n">
        <v>0</v>
      </c>
      <c r="L189" t="n">
        <v>0</v>
      </c>
      <c r="M189" t="n">
        <v>0</v>
      </c>
      <c r="N189" t="n">
        <v>0</v>
      </c>
      <c r="O189" t="n">
        <v>1</v>
      </c>
      <c r="P189" t="n">
        <v>0</v>
      </c>
      <c r="Q189" t="n">
        <v>3</v>
      </c>
      <c r="R189" s="2" t="inlineStr">
        <is>
          <t>Röd skogslilja
Sårläka
Blåsippa</t>
        </is>
      </c>
      <c r="S189">
        <f>HYPERLINK("https://klasma.github.io/Logging_1492/artfynd/A 49533-2019 artfynd.xlsx", "A 49533-2019")</f>
        <v/>
      </c>
      <c r="T189">
        <f>HYPERLINK("https://klasma.github.io/Logging_1492/kartor/A 49533-2019 karta.png", "A 49533-2019")</f>
        <v/>
      </c>
      <c r="V189">
        <f>HYPERLINK("https://klasma.github.io/Logging_1492/klagomål/A 49533-2019 FSC-klagomål.docx", "A 49533-2019")</f>
        <v/>
      </c>
      <c r="W189">
        <f>HYPERLINK("https://klasma.github.io/Logging_1492/klagomålsmail/A 49533-2019 FSC-klagomål mail.docx", "A 49533-2019")</f>
        <v/>
      </c>
      <c r="X189">
        <f>HYPERLINK("https://klasma.github.io/Logging_1492/tillsyn/A 49533-2019 tillsynsbegäran.docx", "A 49533-2019")</f>
        <v/>
      </c>
      <c r="Y189">
        <f>HYPERLINK("https://klasma.github.io/Logging_1492/tillsynsmail/A 49533-2019 tillsynsbegäran mail.docx", "A 49533-2019")</f>
        <v/>
      </c>
    </row>
    <row r="190" ht="15" customHeight="1">
      <c r="A190" t="inlineStr">
        <is>
          <t>A 56461-2019</t>
        </is>
      </c>
      <c r="B190" s="1" t="n">
        <v>43762</v>
      </c>
      <c r="C190" s="1" t="n">
        <v>45586</v>
      </c>
      <c r="D190" t="inlineStr">
        <is>
          <t>VÄSTRA GÖTALANDS LÄN</t>
        </is>
      </c>
      <c r="E190" t="inlineStr">
        <is>
          <t>KUNGÄLV</t>
        </is>
      </c>
      <c r="G190" t="n">
        <v>3.1</v>
      </c>
      <c r="H190" t="n">
        <v>3</v>
      </c>
      <c r="I190" t="n">
        <v>0</v>
      </c>
      <c r="J190" t="n">
        <v>0</v>
      </c>
      <c r="K190" t="n">
        <v>0</v>
      </c>
      <c r="L190" t="n">
        <v>0</v>
      </c>
      <c r="M190" t="n">
        <v>0</v>
      </c>
      <c r="N190" t="n">
        <v>0</v>
      </c>
      <c r="O190" t="n">
        <v>0</v>
      </c>
      <c r="P190" t="n">
        <v>0</v>
      </c>
      <c r="Q190" t="n">
        <v>3</v>
      </c>
      <c r="R190" s="2" t="inlineStr">
        <is>
          <t>Mindre vattensalamander
Vanlig groda
Vanlig padda</t>
        </is>
      </c>
      <c r="S190">
        <f>HYPERLINK("https://klasma.github.io/Logging_1482/artfynd/A 56461-2019 artfynd.xlsx", "A 56461-2019")</f>
        <v/>
      </c>
      <c r="T190">
        <f>HYPERLINK("https://klasma.github.io/Logging_1482/kartor/A 56461-2019 karta.png", "A 56461-2019")</f>
        <v/>
      </c>
      <c r="V190">
        <f>HYPERLINK("https://klasma.github.io/Logging_1482/klagomål/A 56461-2019 FSC-klagomål.docx", "A 56461-2019")</f>
        <v/>
      </c>
      <c r="W190">
        <f>HYPERLINK("https://klasma.github.io/Logging_1482/klagomålsmail/A 56461-2019 FSC-klagomål mail.docx", "A 56461-2019")</f>
        <v/>
      </c>
      <c r="X190">
        <f>HYPERLINK("https://klasma.github.io/Logging_1482/tillsyn/A 56461-2019 tillsynsbegäran.docx", "A 56461-2019")</f>
        <v/>
      </c>
      <c r="Y190">
        <f>HYPERLINK("https://klasma.github.io/Logging_1482/tillsynsmail/A 56461-2019 tillsynsbegäran mail.docx", "A 56461-2019")</f>
        <v/>
      </c>
    </row>
    <row r="191" ht="15" customHeight="1">
      <c r="A191" t="inlineStr">
        <is>
          <t>A 1067-2020</t>
        </is>
      </c>
      <c r="B191" s="1" t="n">
        <v>43819</v>
      </c>
      <c r="C191" s="1" t="n">
        <v>45586</v>
      </c>
      <c r="D191" t="inlineStr">
        <is>
          <t>VÄSTRA GÖTALANDS LÄN</t>
        </is>
      </c>
      <c r="E191" t="inlineStr">
        <is>
          <t>MUNKEDAL</t>
        </is>
      </c>
      <c r="G191" t="n">
        <v>7.2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1067-2020 artfynd.xlsx", "A 1067-2020")</f>
        <v/>
      </c>
      <c r="T191">
        <f>HYPERLINK("https://klasma.github.io/Logging_1430/kartor/A 1067-2020 karta.png", "A 1067-2020")</f>
        <v/>
      </c>
      <c r="V191">
        <f>HYPERLINK("https://klasma.github.io/Logging_1430/klagomål/A 1067-2020 FSC-klagomål.docx", "A 1067-2020")</f>
        <v/>
      </c>
      <c r="W191">
        <f>HYPERLINK("https://klasma.github.io/Logging_1430/klagomålsmail/A 1067-2020 FSC-klagomål mail.docx", "A 1067-2020")</f>
        <v/>
      </c>
      <c r="X191">
        <f>HYPERLINK("https://klasma.github.io/Logging_1430/tillsyn/A 1067-2020 tillsynsbegäran.docx", "A 1067-2020")</f>
        <v/>
      </c>
      <c r="Y191">
        <f>HYPERLINK("https://klasma.github.io/Logging_1430/tillsynsmail/A 1067-2020 tillsynsbegäran mail.docx", "A 1067-2020")</f>
        <v/>
      </c>
    </row>
    <row r="192" ht="15" customHeight="1">
      <c r="A192" t="inlineStr">
        <is>
          <t>A 1456-2020</t>
        </is>
      </c>
      <c r="B192" s="1" t="n">
        <v>43843</v>
      </c>
      <c r="C192" s="1" t="n">
        <v>45586</v>
      </c>
      <c r="D192" t="inlineStr">
        <is>
          <t>VÄSTRA GÖTALANDS LÄN</t>
        </is>
      </c>
      <c r="E192" t="inlineStr">
        <is>
          <t>ALE</t>
        </is>
      </c>
      <c r="G192" t="n">
        <v>2</v>
      </c>
      <c r="H192" t="n">
        <v>2</v>
      </c>
      <c r="I192" t="n">
        <v>1</v>
      </c>
      <c r="J192" t="n">
        <v>2</v>
      </c>
      <c r="K192" t="n">
        <v>0</v>
      </c>
      <c r="L192" t="n">
        <v>0</v>
      </c>
      <c r="M192" t="n">
        <v>0</v>
      </c>
      <c r="N192" t="n">
        <v>0</v>
      </c>
      <c r="O192" t="n">
        <v>2</v>
      </c>
      <c r="P192" t="n">
        <v>0</v>
      </c>
      <c r="Q192" t="n">
        <v>3</v>
      </c>
      <c r="R192" s="2" t="inlineStr">
        <is>
          <t>Gulsparv
Spillkråka
Fällmossa</t>
        </is>
      </c>
      <c r="S192">
        <f>HYPERLINK("https://klasma.github.io/Logging_1440/artfynd/A 1456-2020 artfynd.xlsx", "A 1456-2020")</f>
        <v/>
      </c>
      <c r="T192">
        <f>HYPERLINK("https://klasma.github.io/Logging_1440/kartor/A 1456-2020 karta.png", "A 1456-2020")</f>
        <v/>
      </c>
      <c r="V192">
        <f>HYPERLINK("https://klasma.github.io/Logging_1440/klagomål/A 1456-2020 FSC-klagomål.docx", "A 1456-2020")</f>
        <v/>
      </c>
      <c r="W192">
        <f>HYPERLINK("https://klasma.github.io/Logging_1440/klagomålsmail/A 1456-2020 FSC-klagomål mail.docx", "A 1456-2020")</f>
        <v/>
      </c>
      <c r="X192">
        <f>HYPERLINK("https://klasma.github.io/Logging_1440/tillsyn/A 1456-2020 tillsynsbegäran.docx", "A 1456-2020")</f>
        <v/>
      </c>
      <c r="Y192">
        <f>HYPERLINK("https://klasma.github.io/Logging_1440/tillsynsmail/A 1456-2020 tillsynsbegäran mail.docx", "A 1456-2020")</f>
        <v/>
      </c>
      <c r="Z192">
        <f>HYPERLINK("https://klasma.github.io/Logging_1440/fåglar/A 1456-2020 prioriterade fågelarter.docx", "A 1456-2020")</f>
        <v/>
      </c>
    </row>
    <row r="193" ht="15" customHeight="1">
      <c r="A193" t="inlineStr">
        <is>
          <t>A 5516-2020</t>
        </is>
      </c>
      <c r="B193" s="1" t="n">
        <v>43858</v>
      </c>
      <c r="C193" s="1" t="n">
        <v>45586</v>
      </c>
      <c r="D193" t="inlineStr">
        <is>
          <t>VÄSTRA GÖTALANDS LÄN</t>
        </is>
      </c>
      <c r="E193" t="inlineStr">
        <is>
          <t>MUNKEDAL</t>
        </is>
      </c>
      <c r="G193" t="n">
        <v>2.8</v>
      </c>
      <c r="H193" t="n">
        <v>0</v>
      </c>
      <c r="I193" t="n">
        <v>3</v>
      </c>
      <c r="J193" t="n">
        <v>0</v>
      </c>
      <c r="K193" t="n">
        <v>0</v>
      </c>
      <c r="L193" t="n">
        <v>0</v>
      </c>
      <c r="M193" t="n">
        <v>0</v>
      </c>
      <c r="N193" t="n">
        <v>0</v>
      </c>
      <c r="O193" t="n">
        <v>0</v>
      </c>
      <c r="P193" t="n">
        <v>0</v>
      </c>
      <c r="Q193" t="n">
        <v>3</v>
      </c>
      <c r="R193" s="2" t="inlineStr">
        <is>
          <t>Barkkornlav
Fällmossa
Klippfrullania</t>
        </is>
      </c>
      <c r="S193">
        <f>HYPERLINK("https://klasma.github.io/Logging_1430/artfynd/A 5516-2020 artfynd.xlsx", "A 5516-2020")</f>
        <v/>
      </c>
      <c r="T193">
        <f>HYPERLINK("https://klasma.github.io/Logging_1430/kartor/A 5516-2020 karta.png", "A 5516-2020")</f>
        <v/>
      </c>
      <c r="V193">
        <f>HYPERLINK("https://klasma.github.io/Logging_1430/klagomål/A 5516-2020 FSC-klagomål.docx", "A 5516-2020")</f>
        <v/>
      </c>
      <c r="W193">
        <f>HYPERLINK("https://klasma.github.io/Logging_1430/klagomålsmail/A 5516-2020 FSC-klagomål mail.docx", "A 5516-2020")</f>
        <v/>
      </c>
      <c r="X193">
        <f>HYPERLINK("https://klasma.github.io/Logging_1430/tillsyn/A 5516-2020 tillsynsbegäran.docx", "A 5516-2020")</f>
        <v/>
      </c>
      <c r="Y193">
        <f>HYPERLINK("https://klasma.github.io/Logging_1430/tillsynsmail/A 5516-2020 tillsynsbegäran mail.docx", "A 5516-2020")</f>
        <v/>
      </c>
    </row>
    <row r="194" ht="15" customHeight="1">
      <c r="A194" t="inlineStr">
        <is>
          <t>A 5490-2020</t>
        </is>
      </c>
      <c r="B194" s="1" t="n">
        <v>43858</v>
      </c>
      <c r="C194" s="1" t="n">
        <v>45586</v>
      </c>
      <c r="D194" t="inlineStr">
        <is>
          <t>VÄSTRA GÖTALANDS LÄN</t>
        </is>
      </c>
      <c r="E194" t="inlineStr">
        <is>
          <t>MUNKEDAL</t>
        </is>
      </c>
      <c r="G194" t="n">
        <v>4.2</v>
      </c>
      <c r="H194" t="n">
        <v>1</v>
      </c>
      <c r="I194" t="n">
        <v>2</v>
      </c>
      <c r="J194" t="n">
        <v>0</v>
      </c>
      <c r="K194" t="n">
        <v>0</v>
      </c>
      <c r="L194" t="n">
        <v>0</v>
      </c>
      <c r="M194" t="n">
        <v>0</v>
      </c>
      <c r="N194" t="n">
        <v>0</v>
      </c>
      <c r="O194" t="n">
        <v>0</v>
      </c>
      <c r="P194" t="n">
        <v>0</v>
      </c>
      <c r="Q194" t="n">
        <v>3</v>
      </c>
      <c r="R194" s="2" t="inlineStr">
        <is>
          <t>Fällmossa
Klippfrullania
Blåsippa</t>
        </is>
      </c>
      <c r="S194">
        <f>HYPERLINK("https://klasma.github.io/Logging_1430/artfynd/A 5490-2020 artfynd.xlsx", "A 5490-2020")</f>
        <v/>
      </c>
      <c r="T194">
        <f>HYPERLINK("https://klasma.github.io/Logging_1430/kartor/A 5490-2020 karta.png", "A 5490-2020")</f>
        <v/>
      </c>
      <c r="V194">
        <f>HYPERLINK("https://klasma.github.io/Logging_1430/klagomål/A 5490-2020 FSC-klagomål.docx", "A 5490-2020")</f>
        <v/>
      </c>
      <c r="W194">
        <f>HYPERLINK("https://klasma.github.io/Logging_1430/klagomålsmail/A 5490-2020 FSC-klagomål mail.docx", "A 5490-2020")</f>
        <v/>
      </c>
      <c r="X194">
        <f>HYPERLINK("https://klasma.github.io/Logging_1430/tillsyn/A 5490-2020 tillsynsbegäran.docx", "A 5490-2020")</f>
        <v/>
      </c>
      <c r="Y194">
        <f>HYPERLINK("https://klasma.github.io/Logging_1430/tillsynsmail/A 5490-2020 tillsynsbegäran mail.docx", "A 5490-2020")</f>
        <v/>
      </c>
    </row>
    <row r="195" ht="15" customHeight="1">
      <c r="A195" t="inlineStr">
        <is>
          <t>A 5620-2020</t>
        </is>
      </c>
      <c r="B195" s="1" t="n">
        <v>43861</v>
      </c>
      <c r="C195" s="1" t="n">
        <v>45586</v>
      </c>
      <c r="D195" t="inlineStr">
        <is>
          <t>VÄSTRA GÖTALANDS LÄN</t>
        </is>
      </c>
      <c r="E195" t="inlineStr">
        <is>
          <t>TROLLHÄTTAN</t>
        </is>
      </c>
      <c r="F195" t="inlineStr">
        <is>
          <t>Kommuner</t>
        </is>
      </c>
      <c r="G195" t="n">
        <v>5.7</v>
      </c>
      <c r="H195" t="n">
        <v>1</v>
      </c>
      <c r="I195" t="n">
        <v>2</v>
      </c>
      <c r="J195" t="n">
        <v>0</v>
      </c>
      <c r="K195" t="n">
        <v>1</v>
      </c>
      <c r="L195" t="n">
        <v>0</v>
      </c>
      <c r="M195" t="n">
        <v>0</v>
      </c>
      <c r="N195" t="n">
        <v>0</v>
      </c>
      <c r="O195" t="n">
        <v>1</v>
      </c>
      <c r="P195" t="n">
        <v>1</v>
      </c>
      <c r="Q195" t="n">
        <v>3</v>
      </c>
      <c r="R195" s="2" t="inlineStr">
        <is>
          <t>Tofsvipa
Blåmossa
Dropptaggsvamp</t>
        </is>
      </c>
      <c r="S195">
        <f>HYPERLINK("https://klasma.github.io/Logging_1488/artfynd/A 5620-2020 artfynd.xlsx", "A 5620-2020")</f>
        <v/>
      </c>
      <c r="T195">
        <f>HYPERLINK("https://klasma.github.io/Logging_1488/kartor/A 5620-2020 karta.png", "A 5620-2020")</f>
        <v/>
      </c>
      <c r="V195">
        <f>HYPERLINK("https://klasma.github.io/Logging_1488/klagomål/A 5620-2020 FSC-klagomål.docx", "A 5620-2020")</f>
        <v/>
      </c>
      <c r="W195">
        <f>HYPERLINK("https://klasma.github.io/Logging_1488/klagomålsmail/A 5620-2020 FSC-klagomål mail.docx", "A 5620-2020")</f>
        <v/>
      </c>
      <c r="X195">
        <f>HYPERLINK("https://klasma.github.io/Logging_1488/tillsyn/A 5620-2020 tillsynsbegäran.docx", "A 5620-2020")</f>
        <v/>
      </c>
      <c r="Y195">
        <f>HYPERLINK("https://klasma.github.io/Logging_1488/tillsynsmail/A 5620-2020 tillsynsbegäran mail.docx", "A 5620-2020")</f>
        <v/>
      </c>
    </row>
    <row r="196" ht="15" customHeight="1">
      <c r="A196" t="inlineStr">
        <is>
          <t>A 11099-2020</t>
        </is>
      </c>
      <c r="B196" s="1" t="n">
        <v>43889</v>
      </c>
      <c r="C196" s="1" t="n">
        <v>45586</v>
      </c>
      <c r="D196" t="inlineStr">
        <is>
          <t>VÄSTRA GÖTALANDS LÄN</t>
        </is>
      </c>
      <c r="E196" t="inlineStr">
        <is>
          <t>SKÖVDE</t>
        </is>
      </c>
      <c r="F196" t="inlineStr">
        <is>
          <t>Kommuner</t>
        </is>
      </c>
      <c r="G196" t="n">
        <v>4.5</v>
      </c>
      <c r="H196" t="n">
        <v>2</v>
      </c>
      <c r="I196" t="n">
        <v>1</v>
      </c>
      <c r="J196" t="n">
        <v>1</v>
      </c>
      <c r="K196" t="n">
        <v>1</v>
      </c>
      <c r="L196" t="n">
        <v>0</v>
      </c>
      <c r="M196" t="n">
        <v>0</v>
      </c>
      <c r="N196" t="n">
        <v>0</v>
      </c>
      <c r="O196" t="n">
        <v>2</v>
      </c>
      <c r="P196" t="n">
        <v>1</v>
      </c>
      <c r="Q196" t="n">
        <v>3</v>
      </c>
      <c r="R196" s="2" t="inlineStr">
        <is>
          <t>Backsvala
Fiskmås
Tibast</t>
        </is>
      </c>
      <c r="S196">
        <f>HYPERLINK("https://klasma.github.io/Logging_1496/artfynd/A 11099-2020 artfynd.xlsx", "A 11099-2020")</f>
        <v/>
      </c>
      <c r="T196">
        <f>HYPERLINK("https://klasma.github.io/Logging_1496/kartor/A 11099-2020 karta.png", "A 11099-2020")</f>
        <v/>
      </c>
      <c r="V196">
        <f>HYPERLINK("https://klasma.github.io/Logging_1496/klagomål/A 11099-2020 FSC-klagomål.docx", "A 11099-2020")</f>
        <v/>
      </c>
      <c r="W196">
        <f>HYPERLINK("https://klasma.github.io/Logging_1496/klagomålsmail/A 11099-2020 FSC-klagomål mail.docx", "A 11099-2020")</f>
        <v/>
      </c>
      <c r="X196">
        <f>HYPERLINK("https://klasma.github.io/Logging_1496/tillsyn/A 11099-2020 tillsynsbegäran.docx", "A 11099-2020")</f>
        <v/>
      </c>
      <c r="Y196">
        <f>HYPERLINK("https://klasma.github.io/Logging_1496/tillsynsmail/A 11099-2020 tillsynsbegäran mail.docx", "A 11099-2020")</f>
        <v/>
      </c>
    </row>
    <row r="197" ht="15" customHeight="1">
      <c r="A197" t="inlineStr">
        <is>
          <t>A 13029-2020</t>
        </is>
      </c>
      <c r="B197" s="1" t="n">
        <v>43900</v>
      </c>
      <c r="C197" s="1" t="n">
        <v>45586</v>
      </c>
      <c r="D197" t="inlineStr">
        <is>
          <t>VÄSTRA GÖTALANDS LÄN</t>
        </is>
      </c>
      <c r="E197" t="inlineStr">
        <is>
          <t>ALE</t>
        </is>
      </c>
      <c r="G197" t="n">
        <v>8.300000000000001</v>
      </c>
      <c r="H197" t="n">
        <v>1</v>
      </c>
      <c r="I197" t="n">
        <v>2</v>
      </c>
      <c r="J197" t="n">
        <v>0</v>
      </c>
      <c r="K197" t="n">
        <v>0</v>
      </c>
      <c r="L197" t="n">
        <v>0</v>
      </c>
      <c r="M197" t="n">
        <v>0</v>
      </c>
      <c r="N197" t="n">
        <v>0</v>
      </c>
      <c r="O197" t="n">
        <v>0</v>
      </c>
      <c r="P197" t="n">
        <v>0</v>
      </c>
      <c r="Q197" t="n">
        <v>3</v>
      </c>
      <c r="R197" s="2" t="inlineStr">
        <is>
          <t>Blåmossa
Västlig hakmossa
Revlummer</t>
        </is>
      </c>
      <c r="S197">
        <f>HYPERLINK("https://klasma.github.io/Logging_1440/artfynd/A 13029-2020 artfynd.xlsx", "A 13029-2020")</f>
        <v/>
      </c>
      <c r="T197">
        <f>HYPERLINK("https://klasma.github.io/Logging_1440/kartor/A 13029-2020 karta.png", "A 13029-2020")</f>
        <v/>
      </c>
      <c r="V197">
        <f>HYPERLINK("https://klasma.github.io/Logging_1440/klagomål/A 13029-2020 FSC-klagomål.docx", "A 13029-2020")</f>
        <v/>
      </c>
      <c r="W197">
        <f>HYPERLINK("https://klasma.github.io/Logging_1440/klagomålsmail/A 13029-2020 FSC-klagomål mail.docx", "A 13029-2020")</f>
        <v/>
      </c>
      <c r="X197">
        <f>HYPERLINK("https://klasma.github.io/Logging_1440/tillsyn/A 13029-2020 tillsynsbegäran.docx", "A 13029-2020")</f>
        <v/>
      </c>
      <c r="Y197">
        <f>HYPERLINK("https://klasma.github.io/Logging_1440/tillsynsmail/A 13029-2020 tillsynsbegäran mail.docx", "A 13029-2020")</f>
        <v/>
      </c>
    </row>
    <row r="198" ht="15" customHeight="1">
      <c r="A198" t="inlineStr">
        <is>
          <t>A 17382-2020</t>
        </is>
      </c>
      <c r="B198" s="1" t="n">
        <v>43923</v>
      </c>
      <c r="C198" s="1" t="n">
        <v>45586</v>
      </c>
      <c r="D198" t="inlineStr">
        <is>
          <t>VÄSTRA GÖTALANDS LÄN</t>
        </is>
      </c>
      <c r="E198" t="inlineStr">
        <is>
          <t>MARK</t>
        </is>
      </c>
      <c r="G198" t="n">
        <v>5.6</v>
      </c>
      <c r="H198" t="n">
        <v>0</v>
      </c>
      <c r="I198" t="n">
        <v>2</v>
      </c>
      <c r="J198" t="n">
        <v>0</v>
      </c>
      <c r="K198" t="n">
        <v>0</v>
      </c>
      <c r="L198" t="n">
        <v>1</v>
      </c>
      <c r="M198" t="n">
        <v>0</v>
      </c>
      <c r="N198" t="n">
        <v>0</v>
      </c>
      <c r="O198" t="n">
        <v>1</v>
      </c>
      <c r="P198" t="n">
        <v>1</v>
      </c>
      <c r="Q198" t="n">
        <v>3</v>
      </c>
      <c r="R198" s="2" t="inlineStr">
        <is>
          <t>Ask
Fällmossa
Guldlockmossa</t>
        </is>
      </c>
      <c r="S198">
        <f>HYPERLINK("https://klasma.github.io/Logging_1463/artfynd/A 17382-2020 artfynd.xlsx", "A 17382-2020")</f>
        <v/>
      </c>
      <c r="T198">
        <f>HYPERLINK("https://klasma.github.io/Logging_1463/kartor/A 17382-2020 karta.png", "A 17382-2020")</f>
        <v/>
      </c>
      <c r="V198">
        <f>HYPERLINK("https://klasma.github.io/Logging_1463/klagomål/A 17382-2020 FSC-klagomål.docx", "A 17382-2020")</f>
        <v/>
      </c>
      <c r="W198">
        <f>HYPERLINK("https://klasma.github.io/Logging_1463/klagomålsmail/A 17382-2020 FSC-klagomål mail.docx", "A 17382-2020")</f>
        <v/>
      </c>
      <c r="X198">
        <f>HYPERLINK("https://klasma.github.io/Logging_1463/tillsyn/A 17382-2020 tillsynsbegäran.docx", "A 17382-2020")</f>
        <v/>
      </c>
      <c r="Y198">
        <f>HYPERLINK("https://klasma.github.io/Logging_1463/tillsynsmail/A 17382-2020 tillsynsbegäran mail.docx", "A 17382-2020")</f>
        <v/>
      </c>
    </row>
    <row r="199" ht="15" customHeight="1">
      <c r="A199" t="inlineStr">
        <is>
          <t>A 22966-2020</t>
        </is>
      </c>
      <c r="B199" s="1" t="n">
        <v>43965</v>
      </c>
      <c r="C199" s="1" t="n">
        <v>45586</v>
      </c>
      <c r="D199" t="inlineStr">
        <is>
          <t>VÄSTRA GÖTALANDS LÄN</t>
        </is>
      </c>
      <c r="E199" t="inlineStr">
        <is>
          <t>MÖLNDAL</t>
        </is>
      </c>
      <c r="F199" t="inlineStr">
        <is>
          <t>Kyrkan</t>
        </is>
      </c>
      <c r="G199" t="n">
        <v>10.8</v>
      </c>
      <c r="H199" t="n">
        <v>3</v>
      </c>
      <c r="I199" t="n">
        <v>0</v>
      </c>
      <c r="J199" t="n">
        <v>1</v>
      </c>
      <c r="K199" t="n">
        <v>0</v>
      </c>
      <c r="L199" t="n">
        <v>0</v>
      </c>
      <c r="M199" t="n">
        <v>0</v>
      </c>
      <c r="N199" t="n">
        <v>0</v>
      </c>
      <c r="O199" t="n">
        <v>1</v>
      </c>
      <c r="P199" t="n">
        <v>0</v>
      </c>
      <c r="Q199" t="n">
        <v>3</v>
      </c>
      <c r="R199" s="2" t="inlineStr">
        <is>
          <t>Talltita
Tjäder
Lopplummer</t>
        </is>
      </c>
      <c r="S199">
        <f>HYPERLINK("https://klasma.github.io/Logging_1481/artfynd/A 22966-2020 artfynd.xlsx", "A 22966-2020")</f>
        <v/>
      </c>
      <c r="T199">
        <f>HYPERLINK("https://klasma.github.io/Logging_1481/kartor/A 22966-2020 karta.png", "A 22966-2020")</f>
        <v/>
      </c>
      <c r="V199">
        <f>HYPERLINK("https://klasma.github.io/Logging_1481/klagomål/A 22966-2020 FSC-klagomål.docx", "A 22966-2020")</f>
        <v/>
      </c>
      <c r="W199">
        <f>HYPERLINK("https://klasma.github.io/Logging_1481/klagomålsmail/A 22966-2020 FSC-klagomål mail.docx", "A 22966-2020")</f>
        <v/>
      </c>
      <c r="X199">
        <f>HYPERLINK("https://klasma.github.io/Logging_1481/tillsyn/A 22966-2020 tillsynsbegäran.docx", "A 22966-2020")</f>
        <v/>
      </c>
      <c r="Y199">
        <f>HYPERLINK("https://klasma.github.io/Logging_1481/tillsynsmail/A 22966-2020 tillsynsbegäran mail.docx", "A 22966-2020")</f>
        <v/>
      </c>
      <c r="Z199">
        <f>HYPERLINK("https://klasma.github.io/Logging_1481/fåglar/A 22966-2020 prioriterade fågelarter.docx", "A 22966-2020")</f>
        <v/>
      </c>
    </row>
    <row r="200" ht="15" customHeight="1">
      <c r="A200" t="inlineStr">
        <is>
          <t>A 39025-2020</t>
        </is>
      </c>
      <c r="B200" s="1" t="n">
        <v>44062</v>
      </c>
      <c r="C200" s="1" t="n">
        <v>45586</v>
      </c>
      <c r="D200" t="inlineStr">
        <is>
          <t>VÄSTRA GÖTALANDS LÄN</t>
        </is>
      </c>
      <c r="E200" t="inlineStr">
        <is>
          <t>UDDEVALLA</t>
        </is>
      </c>
      <c r="G200" t="n">
        <v>9.4</v>
      </c>
      <c r="H200" t="n">
        <v>3</v>
      </c>
      <c r="I200" t="n">
        <v>0</v>
      </c>
      <c r="J200" t="n">
        <v>0</v>
      </c>
      <c r="K200" t="n">
        <v>0</v>
      </c>
      <c r="L200" t="n">
        <v>0</v>
      </c>
      <c r="M200" t="n">
        <v>0</v>
      </c>
      <c r="N200" t="n">
        <v>0</v>
      </c>
      <c r="O200" t="n">
        <v>0</v>
      </c>
      <c r="P200" t="n">
        <v>0</v>
      </c>
      <c r="Q200" t="n">
        <v>3</v>
      </c>
      <c r="R200" s="2" t="inlineStr">
        <is>
          <t>Fläcknycklar
Grönvit nattviol
Nattviol</t>
        </is>
      </c>
      <c r="S200">
        <f>HYPERLINK("https://klasma.github.io/Logging_1485/artfynd/A 39025-2020 artfynd.xlsx", "A 39025-2020")</f>
        <v/>
      </c>
      <c r="T200">
        <f>HYPERLINK("https://klasma.github.io/Logging_1485/kartor/A 39025-2020 karta.png", "A 39025-2020")</f>
        <v/>
      </c>
      <c r="V200">
        <f>HYPERLINK("https://klasma.github.io/Logging_1485/klagomål/A 39025-2020 FSC-klagomål.docx", "A 39025-2020")</f>
        <v/>
      </c>
      <c r="W200">
        <f>HYPERLINK("https://klasma.github.io/Logging_1485/klagomålsmail/A 39025-2020 FSC-klagomål mail.docx", "A 39025-2020")</f>
        <v/>
      </c>
      <c r="X200">
        <f>HYPERLINK("https://klasma.github.io/Logging_1485/tillsyn/A 39025-2020 tillsynsbegäran.docx", "A 39025-2020")</f>
        <v/>
      </c>
      <c r="Y200">
        <f>HYPERLINK("https://klasma.github.io/Logging_1485/tillsynsmail/A 39025-2020 tillsynsbegäran mail.docx", "A 39025-2020")</f>
        <v/>
      </c>
    </row>
    <row r="201" ht="15" customHeight="1">
      <c r="A201" t="inlineStr">
        <is>
          <t>A 57107-2020</t>
        </is>
      </c>
      <c r="B201" s="1" t="n">
        <v>44139</v>
      </c>
      <c r="C201" s="1" t="n">
        <v>45586</v>
      </c>
      <c r="D201" t="inlineStr">
        <is>
          <t>VÄSTRA GÖTALANDS LÄN</t>
        </is>
      </c>
      <c r="E201" t="inlineStr">
        <is>
          <t>STRÖMSTAD</t>
        </is>
      </c>
      <c r="G201" t="n">
        <v>3.6</v>
      </c>
      <c r="H201" t="n">
        <v>0</v>
      </c>
      <c r="I201" t="n">
        <v>3</v>
      </c>
      <c r="J201" t="n">
        <v>0</v>
      </c>
      <c r="K201" t="n">
        <v>0</v>
      </c>
      <c r="L201" t="n">
        <v>0</v>
      </c>
      <c r="M201" t="n">
        <v>0</v>
      </c>
      <c r="N201" t="n">
        <v>0</v>
      </c>
      <c r="O201" t="n">
        <v>0</v>
      </c>
      <c r="P201" t="n">
        <v>0</v>
      </c>
      <c r="Q201" t="n">
        <v>3</v>
      </c>
      <c r="R201" s="2" t="inlineStr">
        <is>
          <t>Aspvedgnagare
Granbarkgnagare
Guldlockmossa</t>
        </is>
      </c>
      <c r="S201">
        <f>HYPERLINK("https://klasma.github.io/Logging_1486/artfynd/A 57107-2020 artfynd.xlsx", "A 57107-2020")</f>
        <v/>
      </c>
      <c r="T201">
        <f>HYPERLINK("https://klasma.github.io/Logging_1486/kartor/A 57107-2020 karta.png", "A 57107-2020")</f>
        <v/>
      </c>
      <c r="V201">
        <f>HYPERLINK("https://klasma.github.io/Logging_1486/klagomål/A 57107-2020 FSC-klagomål.docx", "A 57107-2020")</f>
        <v/>
      </c>
      <c r="W201">
        <f>HYPERLINK("https://klasma.github.io/Logging_1486/klagomålsmail/A 57107-2020 FSC-klagomål mail.docx", "A 57107-2020")</f>
        <v/>
      </c>
      <c r="X201">
        <f>HYPERLINK("https://klasma.github.io/Logging_1486/tillsyn/A 57107-2020 tillsynsbegäran.docx", "A 57107-2020")</f>
        <v/>
      </c>
      <c r="Y201">
        <f>HYPERLINK("https://klasma.github.io/Logging_1486/tillsynsmail/A 57107-2020 tillsynsbegäran mail.docx", "A 57107-2020")</f>
        <v/>
      </c>
    </row>
    <row r="202" ht="15" customHeight="1">
      <c r="A202" t="inlineStr">
        <is>
          <t>A 58801-2020</t>
        </is>
      </c>
      <c r="B202" s="1" t="n">
        <v>44146</v>
      </c>
      <c r="C202" s="1" t="n">
        <v>45586</v>
      </c>
      <c r="D202" t="inlineStr">
        <is>
          <t>VÄSTRA GÖTALANDS LÄN</t>
        </is>
      </c>
      <c r="E202" t="inlineStr">
        <is>
          <t>GÖTEBORG</t>
        </is>
      </c>
      <c r="G202" t="n">
        <v>0.9</v>
      </c>
      <c r="H202" t="n">
        <v>2</v>
      </c>
      <c r="I202" t="n">
        <v>0</v>
      </c>
      <c r="J202" t="n">
        <v>2</v>
      </c>
      <c r="K202" t="n">
        <v>0</v>
      </c>
      <c r="L202" t="n">
        <v>0</v>
      </c>
      <c r="M202" t="n">
        <v>0</v>
      </c>
      <c r="N202" t="n">
        <v>0</v>
      </c>
      <c r="O202" t="n">
        <v>2</v>
      </c>
      <c r="P202" t="n">
        <v>0</v>
      </c>
      <c r="Q202" t="n">
        <v>3</v>
      </c>
      <c r="R202" s="2" t="inlineStr">
        <is>
          <t>Entita
Korallticka
Revlummer</t>
        </is>
      </c>
      <c r="S202">
        <f>HYPERLINK("https://klasma.github.io/Logging_1480/artfynd/A 58801-2020 artfynd.xlsx", "A 58801-2020")</f>
        <v/>
      </c>
      <c r="T202">
        <f>HYPERLINK("https://klasma.github.io/Logging_1480/kartor/A 58801-2020 karta.png", "A 58801-2020")</f>
        <v/>
      </c>
      <c r="V202">
        <f>HYPERLINK("https://klasma.github.io/Logging_1480/klagomål/A 58801-2020 FSC-klagomål.docx", "A 58801-2020")</f>
        <v/>
      </c>
      <c r="W202">
        <f>HYPERLINK("https://klasma.github.io/Logging_1480/klagomålsmail/A 58801-2020 FSC-klagomål mail.docx", "A 58801-2020")</f>
        <v/>
      </c>
      <c r="X202">
        <f>HYPERLINK("https://klasma.github.io/Logging_1480/tillsyn/A 58801-2020 tillsynsbegäran.docx", "A 58801-2020")</f>
        <v/>
      </c>
      <c r="Y202">
        <f>HYPERLINK("https://klasma.github.io/Logging_1480/tillsynsmail/A 58801-2020 tillsynsbegäran mail.docx", "A 58801-2020")</f>
        <v/>
      </c>
      <c r="Z202">
        <f>HYPERLINK("https://klasma.github.io/Logging_1480/fåglar/A 58801-2020 prioriterade fågelarter.docx", "A 58801-2020")</f>
        <v/>
      </c>
    </row>
    <row r="203" ht="15" customHeight="1">
      <c r="A203" t="inlineStr">
        <is>
          <t>A 59467-2020</t>
        </is>
      </c>
      <c r="B203" s="1" t="n">
        <v>44148</v>
      </c>
      <c r="C203" s="1" t="n">
        <v>45586</v>
      </c>
      <c r="D203" t="inlineStr">
        <is>
          <t>VÄSTRA GÖTALANDS LÄN</t>
        </is>
      </c>
      <c r="E203" t="inlineStr">
        <is>
          <t>HÄRRYDA</t>
        </is>
      </c>
      <c r="G203" t="n">
        <v>3.8</v>
      </c>
      <c r="H203" t="n">
        <v>3</v>
      </c>
      <c r="I203" t="n">
        <v>0</v>
      </c>
      <c r="J203" t="n">
        <v>0</v>
      </c>
      <c r="K203" t="n">
        <v>0</v>
      </c>
      <c r="L203" t="n">
        <v>0</v>
      </c>
      <c r="M203" t="n">
        <v>0</v>
      </c>
      <c r="N203" t="n">
        <v>0</v>
      </c>
      <c r="O203" t="n">
        <v>0</v>
      </c>
      <c r="P203" t="n">
        <v>0</v>
      </c>
      <c r="Q203" t="n">
        <v>3</v>
      </c>
      <c r="R203" s="2" t="inlineStr">
        <is>
          <t>Kungsfågel
Nattskärra
Vanlig groda</t>
        </is>
      </c>
      <c r="S203">
        <f>HYPERLINK("https://klasma.github.io/Logging_1401/artfynd/A 59467-2020 artfynd.xlsx", "A 59467-2020")</f>
        <v/>
      </c>
      <c r="T203">
        <f>HYPERLINK("https://klasma.github.io/Logging_1401/kartor/A 59467-2020 karta.png", "A 59467-2020")</f>
        <v/>
      </c>
      <c r="V203">
        <f>HYPERLINK("https://klasma.github.io/Logging_1401/klagomål/A 59467-2020 FSC-klagomål.docx", "A 59467-2020")</f>
        <v/>
      </c>
      <c r="W203">
        <f>HYPERLINK("https://klasma.github.io/Logging_1401/klagomålsmail/A 59467-2020 FSC-klagomål mail.docx", "A 59467-2020")</f>
        <v/>
      </c>
      <c r="X203">
        <f>HYPERLINK("https://klasma.github.io/Logging_1401/tillsyn/A 59467-2020 tillsynsbegäran.docx", "A 59467-2020")</f>
        <v/>
      </c>
      <c r="Y203">
        <f>HYPERLINK("https://klasma.github.io/Logging_1401/tillsynsmail/A 59467-2020 tillsynsbegäran mail.docx", "A 59467-2020")</f>
        <v/>
      </c>
      <c r="Z203">
        <f>HYPERLINK("https://klasma.github.io/Logging_1401/fåglar/A 59467-2020 prioriterade fågelarter.docx", "A 59467-2020")</f>
        <v/>
      </c>
    </row>
    <row r="204" ht="15" customHeight="1">
      <c r="A204" t="inlineStr">
        <is>
          <t>A 1383-2021</t>
        </is>
      </c>
      <c r="B204" s="1" t="n">
        <v>44208</v>
      </c>
      <c r="C204" s="1" t="n">
        <v>45586</v>
      </c>
      <c r="D204" t="inlineStr">
        <is>
          <t>VÄSTRA GÖTALANDS LÄN</t>
        </is>
      </c>
      <c r="E204" t="inlineStr">
        <is>
          <t>MELLERUD</t>
        </is>
      </c>
      <c r="G204" t="n">
        <v>4.5</v>
      </c>
      <c r="H204" t="n">
        <v>1</v>
      </c>
      <c r="I204" t="n">
        <v>2</v>
      </c>
      <c r="J204" t="n">
        <v>0</v>
      </c>
      <c r="K204" t="n">
        <v>1</v>
      </c>
      <c r="L204" t="n">
        <v>0</v>
      </c>
      <c r="M204" t="n">
        <v>0</v>
      </c>
      <c r="N204" t="n">
        <v>0</v>
      </c>
      <c r="O204" t="n">
        <v>1</v>
      </c>
      <c r="P204" t="n">
        <v>1</v>
      </c>
      <c r="Q204" t="n">
        <v>3</v>
      </c>
      <c r="R204" s="2" t="inlineStr">
        <is>
          <t>Uddbräken
Kambräken
Tibast</t>
        </is>
      </c>
      <c r="S204">
        <f>HYPERLINK("https://klasma.github.io/Logging_1461/artfynd/A 1383-2021 artfynd.xlsx", "A 1383-2021")</f>
        <v/>
      </c>
      <c r="T204">
        <f>HYPERLINK("https://klasma.github.io/Logging_1461/kartor/A 1383-2021 karta.png", "A 1383-2021")</f>
        <v/>
      </c>
      <c r="V204">
        <f>HYPERLINK("https://klasma.github.io/Logging_1461/klagomål/A 1383-2021 FSC-klagomål.docx", "A 1383-2021")</f>
        <v/>
      </c>
      <c r="W204">
        <f>HYPERLINK("https://klasma.github.io/Logging_1461/klagomålsmail/A 1383-2021 FSC-klagomål mail.docx", "A 1383-2021")</f>
        <v/>
      </c>
      <c r="X204">
        <f>HYPERLINK("https://klasma.github.io/Logging_1461/tillsyn/A 1383-2021 tillsynsbegäran.docx", "A 1383-2021")</f>
        <v/>
      </c>
      <c r="Y204">
        <f>HYPERLINK("https://klasma.github.io/Logging_1461/tillsynsmail/A 1383-2021 tillsynsbegäran mail.docx", "A 1383-2021")</f>
        <v/>
      </c>
    </row>
    <row r="205" ht="15" customHeight="1">
      <c r="A205" t="inlineStr">
        <is>
          <t>A 12626-2021</t>
        </is>
      </c>
      <c r="B205" s="1" t="n">
        <v>44270</v>
      </c>
      <c r="C205" s="1" t="n">
        <v>45586</v>
      </c>
      <c r="D205" t="inlineStr">
        <is>
          <t>VÄSTRA GÖTALANDS LÄN</t>
        </is>
      </c>
      <c r="E205" t="inlineStr">
        <is>
          <t>VÄNERSBORG</t>
        </is>
      </c>
      <c r="G205" t="n">
        <v>7.4</v>
      </c>
      <c r="H205" t="n">
        <v>3</v>
      </c>
      <c r="I205" t="n">
        <v>0</v>
      </c>
      <c r="J205" t="n">
        <v>2</v>
      </c>
      <c r="K205" t="n">
        <v>0</v>
      </c>
      <c r="L205" t="n">
        <v>0</v>
      </c>
      <c r="M205" t="n">
        <v>0</v>
      </c>
      <c r="N205" t="n">
        <v>0</v>
      </c>
      <c r="O205" t="n">
        <v>2</v>
      </c>
      <c r="P205" t="n">
        <v>0</v>
      </c>
      <c r="Q205" t="n">
        <v>3</v>
      </c>
      <c r="R205" s="2" t="inlineStr">
        <is>
          <t>Duvhök
Spillkråka
Revlummer</t>
        </is>
      </c>
      <c r="S205">
        <f>HYPERLINK("https://klasma.github.io/Logging_1487/artfynd/A 12626-2021 artfynd.xlsx", "A 12626-2021")</f>
        <v/>
      </c>
      <c r="T205">
        <f>HYPERLINK("https://klasma.github.io/Logging_1487/kartor/A 12626-2021 karta.png", "A 12626-2021")</f>
        <v/>
      </c>
      <c r="V205">
        <f>HYPERLINK("https://klasma.github.io/Logging_1487/klagomål/A 12626-2021 FSC-klagomål.docx", "A 12626-2021")</f>
        <v/>
      </c>
      <c r="W205">
        <f>HYPERLINK("https://klasma.github.io/Logging_1487/klagomålsmail/A 12626-2021 FSC-klagomål mail.docx", "A 12626-2021")</f>
        <v/>
      </c>
      <c r="X205">
        <f>HYPERLINK("https://klasma.github.io/Logging_1487/tillsyn/A 12626-2021 tillsynsbegäran.docx", "A 12626-2021")</f>
        <v/>
      </c>
      <c r="Y205">
        <f>HYPERLINK("https://klasma.github.io/Logging_1487/tillsynsmail/A 12626-2021 tillsynsbegäran mail.docx", "A 12626-2021")</f>
        <v/>
      </c>
      <c r="Z205">
        <f>HYPERLINK("https://klasma.github.io/Logging_1487/fåglar/A 12626-2021 prioriterade fågelarter.docx", "A 12626-2021")</f>
        <v/>
      </c>
    </row>
    <row r="206" ht="15" customHeight="1">
      <c r="A206" t="inlineStr">
        <is>
          <t>A 20145-2021</t>
        </is>
      </c>
      <c r="B206" s="1" t="n">
        <v>44314</v>
      </c>
      <c r="C206" s="1" t="n">
        <v>45586</v>
      </c>
      <c r="D206" t="inlineStr">
        <is>
          <t>VÄSTRA GÖTALANDS LÄN</t>
        </is>
      </c>
      <c r="E206" t="inlineStr">
        <is>
          <t>BORÅS</t>
        </is>
      </c>
      <c r="G206" t="n">
        <v>5.8</v>
      </c>
      <c r="H206" t="n">
        <v>0</v>
      </c>
      <c r="I206" t="n">
        <v>3</v>
      </c>
      <c r="J206" t="n">
        <v>0</v>
      </c>
      <c r="K206" t="n">
        <v>0</v>
      </c>
      <c r="L206" t="n">
        <v>0</v>
      </c>
      <c r="M206" t="n">
        <v>0</v>
      </c>
      <c r="N206" t="n">
        <v>0</v>
      </c>
      <c r="O206" t="n">
        <v>0</v>
      </c>
      <c r="P206" t="n">
        <v>0</v>
      </c>
      <c r="Q206" t="n">
        <v>3</v>
      </c>
      <c r="R206" s="2" t="inlineStr">
        <is>
          <t>Stor revmossa
Tibast
Västlig hakmossa</t>
        </is>
      </c>
      <c r="S206">
        <f>HYPERLINK("https://klasma.github.io/Logging_1490/artfynd/A 20145-2021 artfynd.xlsx", "A 20145-2021")</f>
        <v/>
      </c>
      <c r="T206">
        <f>HYPERLINK("https://klasma.github.io/Logging_1490/kartor/A 20145-2021 karta.png", "A 20145-2021")</f>
        <v/>
      </c>
      <c r="V206">
        <f>HYPERLINK("https://klasma.github.io/Logging_1490/klagomål/A 20145-2021 FSC-klagomål.docx", "A 20145-2021")</f>
        <v/>
      </c>
      <c r="W206">
        <f>HYPERLINK("https://klasma.github.io/Logging_1490/klagomålsmail/A 20145-2021 FSC-klagomål mail.docx", "A 20145-2021")</f>
        <v/>
      </c>
      <c r="X206">
        <f>HYPERLINK("https://klasma.github.io/Logging_1490/tillsyn/A 20145-2021 tillsynsbegäran.docx", "A 20145-2021")</f>
        <v/>
      </c>
      <c r="Y206">
        <f>HYPERLINK("https://klasma.github.io/Logging_1490/tillsynsmail/A 20145-2021 tillsynsbegäran mail.docx", "A 20145-2021")</f>
        <v/>
      </c>
    </row>
    <row r="207" ht="15" customHeight="1">
      <c r="A207" t="inlineStr">
        <is>
          <t>A 35302-2021</t>
        </is>
      </c>
      <c r="B207" s="1" t="n">
        <v>44384</v>
      </c>
      <c r="C207" s="1" t="n">
        <v>45586</v>
      </c>
      <c r="D207" t="inlineStr">
        <is>
          <t>VÄSTRA GÖTALANDS LÄN</t>
        </is>
      </c>
      <c r="E207" t="inlineStr">
        <is>
          <t>GRÄSTORP</t>
        </is>
      </c>
      <c r="F207" t="inlineStr">
        <is>
          <t>Sveaskog</t>
        </is>
      </c>
      <c r="G207" t="n">
        <v>12.8</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HYPERLINK("https://klasma.github.io/Logging_1444/artfynd/A 35302-2021 artfynd.xlsx", "A 35302-2021")</f>
        <v/>
      </c>
      <c r="T207">
        <f>HYPERLINK("https://klasma.github.io/Logging_1444/kartor/A 35302-2021 karta.png", "A 35302-2021")</f>
        <v/>
      </c>
      <c r="V207">
        <f>HYPERLINK("https://klasma.github.io/Logging_1444/klagomål/A 35302-2021 FSC-klagomål.docx", "A 35302-2021")</f>
        <v/>
      </c>
      <c r="W207">
        <f>HYPERLINK("https://klasma.github.io/Logging_1444/klagomålsmail/A 35302-2021 FSC-klagomål mail.docx", "A 35302-2021")</f>
        <v/>
      </c>
      <c r="X207">
        <f>HYPERLINK("https://klasma.github.io/Logging_1444/tillsyn/A 35302-2021 tillsynsbegäran.docx", "A 35302-2021")</f>
        <v/>
      </c>
      <c r="Y207">
        <f>HYPERLINK("https://klasma.github.io/Logging_1444/tillsynsmail/A 35302-2021 tillsynsbegäran mail.docx", "A 35302-2021")</f>
        <v/>
      </c>
      <c r="Z207">
        <f>HYPERLINK("https://klasma.github.io/Logging_1444/fåglar/A 35302-2021 prioriterade fågelarter.docx", "A 35302-2021")</f>
        <v/>
      </c>
    </row>
    <row r="208" ht="15" customHeight="1">
      <c r="A208" t="inlineStr">
        <is>
          <t>A 42644-2021</t>
        </is>
      </c>
      <c r="B208" s="1" t="n">
        <v>44428</v>
      </c>
      <c r="C208" s="1" t="n">
        <v>45586</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60176-2021</t>
        </is>
      </c>
      <c r="B209" s="1" t="n">
        <v>44495</v>
      </c>
      <c r="C209" s="1" t="n">
        <v>45586</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72588-2021</t>
        </is>
      </c>
      <c r="B210" s="1" t="n">
        <v>44546</v>
      </c>
      <c r="C210" s="1" t="n">
        <v>45586</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8596-2022</t>
        </is>
      </c>
      <c r="B211" s="1" t="n">
        <v>44613</v>
      </c>
      <c r="C211" s="1" t="n">
        <v>45586</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10017-2022</t>
        </is>
      </c>
      <c r="B212" s="1" t="n">
        <v>44621</v>
      </c>
      <c r="C212" s="1" t="n">
        <v>45586</v>
      </c>
      <c r="D212" t="inlineStr">
        <is>
          <t>VÄSTRA GÖTALANDS LÄN</t>
        </is>
      </c>
      <c r="E212" t="inlineStr">
        <is>
          <t>ALINGSÅS</t>
        </is>
      </c>
      <c r="G212" t="n">
        <v>3.8</v>
      </c>
      <c r="H212" t="n">
        <v>1</v>
      </c>
      <c r="I212" t="n">
        <v>0</v>
      </c>
      <c r="J212" t="n">
        <v>0</v>
      </c>
      <c r="K212" t="n">
        <v>0</v>
      </c>
      <c r="L212" t="n">
        <v>1</v>
      </c>
      <c r="M212" t="n">
        <v>1</v>
      </c>
      <c r="N212" t="n">
        <v>0</v>
      </c>
      <c r="O212" t="n">
        <v>2</v>
      </c>
      <c r="P212" t="n">
        <v>2</v>
      </c>
      <c r="Q212" t="n">
        <v>3</v>
      </c>
      <c r="R212" s="2" t="inlineStr">
        <is>
          <t>Skogsalm
Ask
Vanlig padda</t>
        </is>
      </c>
      <c r="S212">
        <f>HYPERLINK("https://klasma.github.io/Logging_1489/artfynd/A 10017-2022 artfynd.xlsx", "A 10017-2022")</f>
        <v/>
      </c>
      <c r="T212">
        <f>HYPERLINK("https://klasma.github.io/Logging_1489/kartor/A 10017-2022 karta.png", "A 10017-2022")</f>
        <v/>
      </c>
      <c r="V212">
        <f>HYPERLINK("https://klasma.github.io/Logging_1489/klagomål/A 10017-2022 FSC-klagomål.docx", "A 10017-2022")</f>
        <v/>
      </c>
      <c r="W212">
        <f>HYPERLINK("https://klasma.github.io/Logging_1489/klagomålsmail/A 10017-2022 FSC-klagomål mail.docx", "A 10017-2022")</f>
        <v/>
      </c>
      <c r="X212">
        <f>HYPERLINK("https://klasma.github.io/Logging_1489/tillsyn/A 10017-2022 tillsynsbegäran.docx", "A 10017-2022")</f>
        <v/>
      </c>
      <c r="Y212">
        <f>HYPERLINK("https://klasma.github.io/Logging_1489/tillsynsmail/A 10017-2022 tillsynsbegäran mail.docx", "A 10017-2022")</f>
        <v/>
      </c>
    </row>
    <row r="213" ht="15" customHeight="1">
      <c r="A213" t="inlineStr">
        <is>
          <t>A 13606-2022</t>
        </is>
      </c>
      <c r="B213" s="1" t="n">
        <v>44648</v>
      </c>
      <c r="C213" s="1" t="n">
        <v>45586</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18152-2022</t>
        </is>
      </c>
      <c r="B214" s="1" t="n">
        <v>44684</v>
      </c>
      <c r="C214" s="1" t="n">
        <v>45586</v>
      </c>
      <c r="D214" t="inlineStr">
        <is>
          <t>VÄSTRA GÖTALANDS LÄN</t>
        </is>
      </c>
      <c r="E214" t="inlineStr">
        <is>
          <t>VÄNERSBORG</t>
        </is>
      </c>
      <c r="G214" t="n">
        <v>1.5</v>
      </c>
      <c r="H214" t="n">
        <v>0</v>
      </c>
      <c r="I214" t="n">
        <v>1</v>
      </c>
      <c r="J214" t="n">
        <v>2</v>
      </c>
      <c r="K214" t="n">
        <v>0</v>
      </c>
      <c r="L214" t="n">
        <v>0</v>
      </c>
      <c r="M214" t="n">
        <v>0</v>
      </c>
      <c r="N214" t="n">
        <v>0</v>
      </c>
      <c r="O214" t="n">
        <v>2</v>
      </c>
      <c r="P214" t="n">
        <v>0</v>
      </c>
      <c r="Q214" t="n">
        <v>3</v>
      </c>
      <c r="R214" s="2" t="inlineStr">
        <is>
          <t>Skogssvingel
Slåtterfibbla
Sårläka</t>
        </is>
      </c>
      <c r="S214">
        <f>HYPERLINK("https://klasma.github.io/Logging_1487/artfynd/A 18152-2022 artfynd.xlsx", "A 18152-2022")</f>
        <v/>
      </c>
      <c r="T214">
        <f>HYPERLINK("https://klasma.github.io/Logging_1487/kartor/A 18152-2022 karta.png", "A 18152-2022")</f>
        <v/>
      </c>
      <c r="V214">
        <f>HYPERLINK("https://klasma.github.io/Logging_1487/klagomål/A 18152-2022 FSC-klagomål.docx", "A 18152-2022")</f>
        <v/>
      </c>
      <c r="W214">
        <f>HYPERLINK("https://klasma.github.io/Logging_1487/klagomålsmail/A 18152-2022 FSC-klagomål mail.docx", "A 18152-2022")</f>
        <v/>
      </c>
      <c r="X214">
        <f>HYPERLINK("https://klasma.github.io/Logging_1487/tillsyn/A 18152-2022 tillsynsbegäran.docx", "A 18152-2022")</f>
        <v/>
      </c>
      <c r="Y214">
        <f>HYPERLINK("https://klasma.github.io/Logging_1487/tillsynsmail/A 18152-2022 tillsynsbegäran mail.docx", "A 18152-2022")</f>
        <v/>
      </c>
    </row>
    <row r="215" ht="15" customHeight="1">
      <c r="A215" t="inlineStr">
        <is>
          <t>A 25441-2022</t>
        </is>
      </c>
      <c r="B215" s="1" t="n">
        <v>44732</v>
      </c>
      <c r="C215" s="1" t="n">
        <v>45586</v>
      </c>
      <c r="D215" t="inlineStr">
        <is>
          <t>VÄSTRA GÖTALANDS LÄN</t>
        </is>
      </c>
      <c r="E215" t="inlineStr">
        <is>
          <t>HÄRRYDA</t>
        </is>
      </c>
      <c r="G215" t="n">
        <v>0.5</v>
      </c>
      <c r="H215" t="n">
        <v>3</v>
      </c>
      <c r="I215" t="n">
        <v>0</v>
      </c>
      <c r="J215" t="n">
        <v>2</v>
      </c>
      <c r="K215" t="n">
        <v>0</v>
      </c>
      <c r="L215" t="n">
        <v>0</v>
      </c>
      <c r="M215" t="n">
        <v>0</v>
      </c>
      <c r="N215" t="n">
        <v>0</v>
      </c>
      <c r="O215" t="n">
        <v>2</v>
      </c>
      <c r="P215" t="n">
        <v>0</v>
      </c>
      <c r="Q215" t="n">
        <v>3</v>
      </c>
      <c r="R215" s="2" t="inlineStr">
        <is>
          <t>Spillkråka
Svartvit flugsnappare
Vanlig groda</t>
        </is>
      </c>
      <c r="S215">
        <f>HYPERLINK("https://klasma.github.io/Logging_1401/artfynd/A 25441-2022 artfynd.xlsx", "A 25441-2022")</f>
        <v/>
      </c>
      <c r="T215">
        <f>HYPERLINK("https://klasma.github.io/Logging_1401/kartor/A 25441-2022 karta.png", "A 25441-2022")</f>
        <v/>
      </c>
      <c r="V215">
        <f>HYPERLINK("https://klasma.github.io/Logging_1401/klagomål/A 25441-2022 FSC-klagomål.docx", "A 25441-2022")</f>
        <v/>
      </c>
      <c r="W215">
        <f>HYPERLINK("https://klasma.github.io/Logging_1401/klagomålsmail/A 25441-2022 FSC-klagomål mail.docx", "A 25441-2022")</f>
        <v/>
      </c>
      <c r="X215">
        <f>HYPERLINK("https://klasma.github.io/Logging_1401/tillsyn/A 25441-2022 tillsynsbegäran.docx", "A 25441-2022")</f>
        <v/>
      </c>
      <c r="Y215">
        <f>HYPERLINK("https://klasma.github.io/Logging_1401/tillsynsmail/A 25441-2022 tillsynsbegäran mail.docx", "A 25441-2022")</f>
        <v/>
      </c>
      <c r="Z215">
        <f>HYPERLINK("https://klasma.github.io/Logging_1401/fåglar/A 25441-2022 prioriterade fågelarter.docx", "A 25441-2022")</f>
        <v/>
      </c>
    </row>
    <row r="216" ht="15" customHeight="1">
      <c r="A216" t="inlineStr">
        <is>
          <t>A 36627-2022</t>
        </is>
      </c>
      <c r="B216" s="1" t="n">
        <v>44804</v>
      </c>
      <c r="C216" s="1" t="n">
        <v>45586</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41152-2022</t>
        </is>
      </c>
      <c r="B217" s="1" t="n">
        <v>44825</v>
      </c>
      <c r="C217" s="1" t="n">
        <v>45586</v>
      </c>
      <c r="D217" t="inlineStr">
        <is>
          <t>VÄSTRA GÖTALANDS LÄN</t>
        </is>
      </c>
      <c r="E217" t="inlineStr">
        <is>
          <t>DALS-ED</t>
        </is>
      </c>
      <c r="G217" t="n">
        <v>1.8</v>
      </c>
      <c r="H217" t="n">
        <v>1</v>
      </c>
      <c r="I217" t="n">
        <v>3</v>
      </c>
      <c r="J217" t="n">
        <v>0</v>
      </c>
      <c r="K217" t="n">
        <v>0</v>
      </c>
      <c r="L217" t="n">
        <v>0</v>
      </c>
      <c r="M217" t="n">
        <v>0</v>
      </c>
      <c r="N217" t="n">
        <v>0</v>
      </c>
      <c r="O217" t="n">
        <v>0</v>
      </c>
      <c r="P217" t="n">
        <v>0</v>
      </c>
      <c r="Q217" t="n">
        <v>3</v>
      </c>
      <c r="R217" s="2" t="inlineStr">
        <is>
          <t>Blåmossa
Grön sköldmossa
Skuggsprötmossa</t>
        </is>
      </c>
      <c r="S217">
        <f>HYPERLINK("https://klasma.github.io/Logging_1438/artfynd/A 41152-2022 artfynd.xlsx", "A 41152-2022")</f>
        <v/>
      </c>
      <c r="T217">
        <f>HYPERLINK("https://klasma.github.io/Logging_1438/kartor/A 41152-2022 karta.png", "A 41152-2022")</f>
        <v/>
      </c>
      <c r="V217">
        <f>HYPERLINK("https://klasma.github.io/Logging_1438/klagomål/A 41152-2022 FSC-klagomål.docx", "A 41152-2022")</f>
        <v/>
      </c>
      <c r="W217">
        <f>HYPERLINK("https://klasma.github.io/Logging_1438/klagomålsmail/A 41152-2022 FSC-klagomål mail.docx", "A 41152-2022")</f>
        <v/>
      </c>
      <c r="X217">
        <f>HYPERLINK("https://klasma.github.io/Logging_1438/tillsyn/A 41152-2022 tillsynsbegäran.docx", "A 41152-2022")</f>
        <v/>
      </c>
      <c r="Y217">
        <f>HYPERLINK("https://klasma.github.io/Logging_1438/tillsynsmail/A 41152-2022 tillsynsbegäran mail.docx", "A 41152-2022")</f>
        <v/>
      </c>
    </row>
    <row r="218" ht="15" customHeight="1">
      <c r="A218" t="inlineStr">
        <is>
          <t>A 47947-2022</t>
        </is>
      </c>
      <c r="B218" s="1" t="n">
        <v>44855</v>
      </c>
      <c r="C218" s="1" t="n">
        <v>45586</v>
      </c>
      <c r="D218" t="inlineStr">
        <is>
          <t>VÄSTRA GÖTALANDS LÄN</t>
        </is>
      </c>
      <c r="E218" t="inlineStr">
        <is>
          <t>ALINGSÅS</t>
        </is>
      </c>
      <c r="G218" t="n">
        <v>4.3</v>
      </c>
      <c r="H218" t="n">
        <v>3</v>
      </c>
      <c r="I218" t="n">
        <v>0</v>
      </c>
      <c r="J218" t="n">
        <v>2</v>
      </c>
      <c r="K218" t="n">
        <v>0</v>
      </c>
      <c r="L218" t="n">
        <v>1</v>
      </c>
      <c r="M218" t="n">
        <v>0</v>
      </c>
      <c r="N218" t="n">
        <v>0</v>
      </c>
      <c r="O218" t="n">
        <v>3</v>
      </c>
      <c r="P218" t="n">
        <v>1</v>
      </c>
      <c r="Q218" t="n">
        <v>3</v>
      </c>
      <c r="R218" s="2" t="inlineStr">
        <is>
          <t>Grönfink
Gulsparv
Svartvit flugsnappare</t>
        </is>
      </c>
      <c r="S218">
        <f>HYPERLINK("https://klasma.github.io/Logging_1489/artfynd/A 47947-2022 artfynd.xlsx", "A 47947-2022")</f>
        <v/>
      </c>
      <c r="T218">
        <f>HYPERLINK("https://klasma.github.io/Logging_1489/kartor/A 47947-2022 karta.png", "A 47947-2022")</f>
        <v/>
      </c>
      <c r="V218">
        <f>HYPERLINK("https://klasma.github.io/Logging_1489/klagomål/A 47947-2022 FSC-klagomål.docx", "A 47947-2022")</f>
        <v/>
      </c>
      <c r="W218">
        <f>HYPERLINK("https://klasma.github.io/Logging_1489/klagomålsmail/A 47947-2022 FSC-klagomål mail.docx", "A 47947-2022")</f>
        <v/>
      </c>
      <c r="X218">
        <f>HYPERLINK("https://klasma.github.io/Logging_1489/tillsyn/A 47947-2022 tillsynsbegäran.docx", "A 47947-2022")</f>
        <v/>
      </c>
      <c r="Y218">
        <f>HYPERLINK("https://klasma.github.io/Logging_1489/tillsynsmail/A 47947-2022 tillsynsbegäran mail.docx", "A 47947-2022")</f>
        <v/>
      </c>
      <c r="Z218">
        <f>HYPERLINK("https://klasma.github.io/Logging_1489/fåglar/A 47947-2022 prioriterade fågelarter.docx", "A 47947-2022")</f>
        <v/>
      </c>
    </row>
    <row r="219" ht="15" customHeight="1">
      <c r="A219" t="inlineStr">
        <is>
          <t>A 51221-2022</t>
        </is>
      </c>
      <c r="B219" s="1" t="n">
        <v>44868</v>
      </c>
      <c r="C219" s="1" t="n">
        <v>45586</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51852-2022</t>
        </is>
      </c>
      <c r="B220" s="1" t="n">
        <v>44872</v>
      </c>
      <c r="C220" s="1" t="n">
        <v>45586</v>
      </c>
      <c r="D220" t="inlineStr">
        <is>
          <t>VÄSTRA GÖTALANDS LÄN</t>
        </is>
      </c>
      <c r="E220" t="inlineStr">
        <is>
          <t>TRANEMO</t>
        </is>
      </c>
      <c r="G220" t="n">
        <v>1</v>
      </c>
      <c r="H220" t="n">
        <v>3</v>
      </c>
      <c r="I220" t="n">
        <v>0</v>
      </c>
      <c r="J220" t="n">
        <v>2</v>
      </c>
      <c r="K220" t="n">
        <v>1</v>
      </c>
      <c r="L220" t="n">
        <v>0</v>
      </c>
      <c r="M220" t="n">
        <v>0</v>
      </c>
      <c r="N220" t="n">
        <v>0</v>
      </c>
      <c r="O220" t="n">
        <v>3</v>
      </c>
      <c r="P220" t="n">
        <v>1</v>
      </c>
      <c r="Q220" t="n">
        <v>3</v>
      </c>
      <c r="R220" s="2" t="inlineStr">
        <is>
          <t>Kricka
Buskskvätta
Skrattmås</t>
        </is>
      </c>
      <c r="S220">
        <f>HYPERLINK("https://klasma.github.io/Logging_1452/artfynd/A 51852-2022 artfynd.xlsx", "A 51852-2022")</f>
        <v/>
      </c>
      <c r="T220">
        <f>HYPERLINK("https://klasma.github.io/Logging_1452/kartor/A 51852-2022 karta.png", "A 51852-2022")</f>
        <v/>
      </c>
      <c r="V220">
        <f>HYPERLINK("https://klasma.github.io/Logging_1452/klagomål/A 51852-2022 FSC-klagomål.docx", "A 51852-2022")</f>
        <v/>
      </c>
      <c r="W220">
        <f>HYPERLINK("https://klasma.github.io/Logging_1452/klagomålsmail/A 51852-2022 FSC-klagomål mail.docx", "A 51852-2022")</f>
        <v/>
      </c>
      <c r="X220">
        <f>HYPERLINK("https://klasma.github.io/Logging_1452/tillsyn/A 51852-2022 tillsynsbegäran.docx", "A 51852-2022")</f>
        <v/>
      </c>
      <c r="Y220">
        <f>HYPERLINK("https://klasma.github.io/Logging_1452/tillsynsmail/A 51852-2022 tillsynsbegäran mail.docx", "A 51852-2022")</f>
        <v/>
      </c>
      <c r="Z220">
        <f>HYPERLINK("https://klasma.github.io/Logging_1452/fåglar/A 51852-2022 prioriterade fågelarter.docx", "A 51852-2022")</f>
        <v/>
      </c>
    </row>
    <row r="221" ht="15" customHeight="1">
      <c r="A221" t="inlineStr">
        <is>
          <t>A 56381-2022</t>
        </is>
      </c>
      <c r="B221" s="1" t="n">
        <v>44890</v>
      </c>
      <c r="C221" s="1" t="n">
        <v>45586</v>
      </c>
      <c r="D221" t="inlineStr">
        <is>
          <t>VÄSTRA GÖTALANDS LÄN</t>
        </is>
      </c>
      <c r="E221" t="inlineStr">
        <is>
          <t>FALKÖPING</t>
        </is>
      </c>
      <c r="G221" t="n">
        <v>9.699999999999999</v>
      </c>
      <c r="H221" t="n">
        <v>1</v>
      </c>
      <c r="I221" t="n">
        <v>0</v>
      </c>
      <c r="J221" t="n">
        <v>1</v>
      </c>
      <c r="K221" t="n">
        <v>0</v>
      </c>
      <c r="L221" t="n">
        <v>0</v>
      </c>
      <c r="M221" t="n">
        <v>1</v>
      </c>
      <c r="N221" t="n">
        <v>0</v>
      </c>
      <c r="O221" t="n">
        <v>2</v>
      </c>
      <c r="P221" t="n">
        <v>1</v>
      </c>
      <c r="Q221" t="n">
        <v>3</v>
      </c>
      <c r="R221" s="2" t="inlineStr">
        <is>
          <t>Skogsalm
Svinrot
Revlummer</t>
        </is>
      </c>
      <c r="S221">
        <f>HYPERLINK("https://klasma.github.io/Logging_1499/artfynd/A 56381-2022 artfynd.xlsx", "A 56381-2022")</f>
        <v/>
      </c>
      <c r="T221">
        <f>HYPERLINK("https://klasma.github.io/Logging_1499/kartor/A 56381-2022 karta.png", "A 56381-2022")</f>
        <v/>
      </c>
      <c r="V221">
        <f>HYPERLINK("https://klasma.github.io/Logging_1499/klagomål/A 56381-2022 FSC-klagomål.docx", "A 56381-2022")</f>
        <v/>
      </c>
      <c r="W221">
        <f>HYPERLINK("https://klasma.github.io/Logging_1499/klagomålsmail/A 56381-2022 FSC-klagomål mail.docx", "A 56381-2022")</f>
        <v/>
      </c>
      <c r="X221">
        <f>HYPERLINK("https://klasma.github.io/Logging_1499/tillsyn/A 56381-2022 tillsynsbegäran.docx", "A 56381-2022")</f>
        <v/>
      </c>
      <c r="Y221">
        <f>HYPERLINK("https://klasma.github.io/Logging_1499/tillsynsmail/A 56381-2022 tillsynsbegäran mail.docx", "A 56381-2022")</f>
        <v/>
      </c>
    </row>
    <row r="222" ht="15" customHeight="1">
      <c r="A222" t="inlineStr">
        <is>
          <t>A 1192-2023</t>
        </is>
      </c>
      <c r="B222" s="1" t="n">
        <v>44935</v>
      </c>
      <c r="C222" s="1" t="n">
        <v>45586</v>
      </c>
      <c r="D222" t="inlineStr">
        <is>
          <t>VÄSTRA GÖTALANDS LÄN</t>
        </is>
      </c>
      <c r="E222" t="inlineStr">
        <is>
          <t>BENGTSFORS</t>
        </is>
      </c>
      <c r="G222" t="n">
        <v>6.5</v>
      </c>
      <c r="H222" t="n">
        <v>3</v>
      </c>
      <c r="I222" t="n">
        <v>0</v>
      </c>
      <c r="J222" t="n">
        <v>2</v>
      </c>
      <c r="K222" t="n">
        <v>0</v>
      </c>
      <c r="L222" t="n">
        <v>0</v>
      </c>
      <c r="M222" t="n">
        <v>0</v>
      </c>
      <c r="N222" t="n">
        <v>0</v>
      </c>
      <c r="O222" t="n">
        <v>2</v>
      </c>
      <c r="P222" t="n">
        <v>0</v>
      </c>
      <c r="Q222" t="n">
        <v>3</v>
      </c>
      <c r="R222" s="2" t="inlineStr">
        <is>
          <t>Buskskvätta
Gulsparv
Tjäder</t>
        </is>
      </c>
      <c r="S222">
        <f>HYPERLINK("https://klasma.github.io/Logging_1460/artfynd/A 1192-2023 artfynd.xlsx", "A 1192-2023")</f>
        <v/>
      </c>
      <c r="T222">
        <f>HYPERLINK("https://klasma.github.io/Logging_1460/kartor/A 1192-2023 karta.png", "A 1192-2023")</f>
        <v/>
      </c>
      <c r="V222">
        <f>HYPERLINK("https://klasma.github.io/Logging_1460/klagomål/A 1192-2023 FSC-klagomål.docx", "A 1192-2023")</f>
        <v/>
      </c>
      <c r="W222">
        <f>HYPERLINK("https://klasma.github.io/Logging_1460/klagomålsmail/A 1192-2023 FSC-klagomål mail.docx", "A 1192-2023")</f>
        <v/>
      </c>
      <c r="X222">
        <f>HYPERLINK("https://klasma.github.io/Logging_1460/tillsyn/A 1192-2023 tillsynsbegäran.docx", "A 1192-2023")</f>
        <v/>
      </c>
      <c r="Y222">
        <f>HYPERLINK("https://klasma.github.io/Logging_1460/tillsynsmail/A 1192-2023 tillsynsbegäran mail.docx", "A 1192-2023")</f>
        <v/>
      </c>
      <c r="Z222">
        <f>HYPERLINK("https://klasma.github.io/Logging_1460/fåglar/A 1192-2023 prioriterade fågelarter.docx", "A 1192-2023")</f>
        <v/>
      </c>
    </row>
    <row r="223" ht="15" customHeight="1">
      <c r="A223" t="inlineStr">
        <is>
          <t>A 1171-2023</t>
        </is>
      </c>
      <c r="B223" s="1" t="n">
        <v>44935</v>
      </c>
      <c r="C223" s="1" t="n">
        <v>45586</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5767-2023</t>
        </is>
      </c>
      <c r="B224" s="1" t="n">
        <v>44963</v>
      </c>
      <c r="C224" s="1" t="n">
        <v>45586</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14805-2023</t>
        </is>
      </c>
      <c r="B225" s="1" t="n">
        <v>45014</v>
      </c>
      <c r="C225" s="1" t="n">
        <v>45586</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23414-2023</t>
        </is>
      </c>
      <c r="B226" s="1" t="n">
        <v>45076</v>
      </c>
      <c r="C226" s="1" t="n">
        <v>45586</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36669-2023</t>
        </is>
      </c>
      <c r="B227" s="1" t="n">
        <v>45153</v>
      </c>
      <c r="C227" s="1" t="n">
        <v>45586</v>
      </c>
      <c r="D227" t="inlineStr">
        <is>
          <t>VÄSTRA GÖTALANDS LÄN</t>
        </is>
      </c>
      <c r="E227" t="inlineStr">
        <is>
          <t>SVENLJUNGA</t>
        </is>
      </c>
      <c r="G227" t="n">
        <v>8.4</v>
      </c>
      <c r="H227" t="n">
        <v>1</v>
      </c>
      <c r="I227" t="n">
        <v>0</v>
      </c>
      <c r="J227" t="n">
        <v>2</v>
      </c>
      <c r="K227" t="n">
        <v>0</v>
      </c>
      <c r="L227" t="n">
        <v>0</v>
      </c>
      <c r="M227" t="n">
        <v>0</v>
      </c>
      <c r="N227" t="n">
        <v>0</v>
      </c>
      <c r="O227" t="n">
        <v>2</v>
      </c>
      <c r="P227" t="n">
        <v>0</v>
      </c>
      <c r="Q227" t="n">
        <v>3</v>
      </c>
      <c r="R227" s="2" t="inlineStr">
        <is>
          <t>Backruta
Åkerkulla
Grönvit nattviol</t>
        </is>
      </c>
      <c r="S227">
        <f>HYPERLINK("https://klasma.github.io/Logging_1465/artfynd/A 36669-2023 artfynd.xlsx", "A 36669-2023")</f>
        <v/>
      </c>
      <c r="T227">
        <f>HYPERLINK("https://klasma.github.io/Logging_1465/kartor/A 36669-2023 karta.png", "A 36669-2023")</f>
        <v/>
      </c>
      <c r="V227">
        <f>HYPERLINK("https://klasma.github.io/Logging_1465/klagomål/A 36669-2023 FSC-klagomål.docx", "A 36669-2023")</f>
        <v/>
      </c>
      <c r="W227">
        <f>HYPERLINK("https://klasma.github.io/Logging_1465/klagomålsmail/A 36669-2023 FSC-klagomål mail.docx", "A 36669-2023")</f>
        <v/>
      </c>
      <c r="X227">
        <f>HYPERLINK("https://klasma.github.io/Logging_1465/tillsyn/A 36669-2023 tillsynsbegäran.docx", "A 36669-2023")</f>
        <v/>
      </c>
      <c r="Y227">
        <f>HYPERLINK("https://klasma.github.io/Logging_1465/tillsynsmail/A 36669-2023 tillsynsbegäran mail.docx", "A 36669-2023")</f>
        <v/>
      </c>
    </row>
    <row r="228" ht="15" customHeight="1">
      <c r="A228" t="inlineStr">
        <is>
          <t>A 37930-2023</t>
        </is>
      </c>
      <c r="B228" s="1" t="n">
        <v>45160</v>
      </c>
      <c r="C228" s="1" t="n">
        <v>45586</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44068-2023</t>
        </is>
      </c>
      <c r="B229" s="1" t="n">
        <v>45188</v>
      </c>
      <c r="C229" s="1" t="n">
        <v>45586</v>
      </c>
      <c r="D229" t="inlineStr">
        <is>
          <t>VÄSTRA GÖTALANDS LÄN</t>
        </is>
      </c>
      <c r="E229" t="inlineStr">
        <is>
          <t>SKÖVDE</t>
        </is>
      </c>
      <c r="G229" t="n">
        <v>6.7</v>
      </c>
      <c r="H229" t="n">
        <v>3</v>
      </c>
      <c r="I229" t="n">
        <v>1</v>
      </c>
      <c r="J229" t="n">
        <v>0</v>
      </c>
      <c r="K229" t="n">
        <v>0</v>
      </c>
      <c r="L229" t="n">
        <v>0</v>
      </c>
      <c r="M229" t="n">
        <v>0</v>
      </c>
      <c r="N229" t="n">
        <v>0</v>
      </c>
      <c r="O229" t="n">
        <v>0</v>
      </c>
      <c r="P229" t="n">
        <v>0</v>
      </c>
      <c r="Q229" t="n">
        <v>3</v>
      </c>
      <c r="R229" s="2" t="inlineStr">
        <is>
          <t>Tvåblad
Fläcknycklar
Grönvit nattviol</t>
        </is>
      </c>
      <c r="S229">
        <f>HYPERLINK("https://klasma.github.io/Logging_1496/artfynd/A 44068-2023 artfynd.xlsx", "A 44068-2023")</f>
        <v/>
      </c>
      <c r="T229">
        <f>HYPERLINK("https://klasma.github.io/Logging_1496/kartor/A 44068-2023 karta.png", "A 44068-2023")</f>
        <v/>
      </c>
      <c r="V229">
        <f>HYPERLINK("https://klasma.github.io/Logging_1496/klagomål/A 44068-2023 FSC-klagomål.docx", "A 44068-2023")</f>
        <v/>
      </c>
      <c r="W229">
        <f>HYPERLINK("https://klasma.github.io/Logging_1496/klagomålsmail/A 44068-2023 FSC-klagomål mail.docx", "A 44068-2023")</f>
        <v/>
      </c>
      <c r="X229">
        <f>HYPERLINK("https://klasma.github.io/Logging_1496/tillsyn/A 44068-2023 tillsynsbegäran.docx", "A 44068-2023")</f>
        <v/>
      </c>
      <c r="Y229">
        <f>HYPERLINK("https://klasma.github.io/Logging_1496/tillsynsmail/A 44068-2023 tillsynsbegäran mail.docx", "A 44068-2023")</f>
        <v/>
      </c>
    </row>
    <row r="230" ht="15" customHeight="1">
      <c r="A230" t="inlineStr">
        <is>
          <t>A 47058-2023</t>
        </is>
      </c>
      <c r="B230" s="1" t="n">
        <v>45201</v>
      </c>
      <c r="C230" s="1" t="n">
        <v>45586</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52013-2023</t>
        </is>
      </c>
      <c r="B231" s="1" t="n">
        <v>45223</v>
      </c>
      <c r="C231" s="1" t="n">
        <v>45586</v>
      </c>
      <c r="D231" t="inlineStr">
        <is>
          <t>VÄSTRA GÖTALANDS LÄN</t>
        </is>
      </c>
      <c r="E231" t="inlineStr">
        <is>
          <t>TÖREBODA</t>
        </is>
      </c>
      <c r="G231" t="n">
        <v>15.7</v>
      </c>
      <c r="H231" t="n">
        <v>0</v>
      </c>
      <c r="I231" t="n">
        <v>2</v>
      </c>
      <c r="J231" t="n">
        <v>1</v>
      </c>
      <c r="K231" t="n">
        <v>0</v>
      </c>
      <c r="L231" t="n">
        <v>0</v>
      </c>
      <c r="M231" t="n">
        <v>0</v>
      </c>
      <c r="N231" t="n">
        <v>0</v>
      </c>
      <c r="O231" t="n">
        <v>1</v>
      </c>
      <c r="P231" t="n">
        <v>0</v>
      </c>
      <c r="Q231" t="n">
        <v>3</v>
      </c>
      <c r="R231" s="2" t="inlineStr">
        <is>
          <t>Kandelabersvamp
Fjällig taggsvamp s.str.
Trådticka</t>
        </is>
      </c>
      <c r="S231">
        <f>HYPERLINK("https://klasma.github.io/Logging_1473/artfynd/A 52013-2023 artfynd.xlsx", "A 52013-2023")</f>
        <v/>
      </c>
      <c r="T231">
        <f>HYPERLINK("https://klasma.github.io/Logging_1473/kartor/A 52013-2023 karta.png", "A 52013-2023")</f>
        <v/>
      </c>
      <c r="V231">
        <f>HYPERLINK("https://klasma.github.io/Logging_1473/klagomål/A 52013-2023 FSC-klagomål.docx", "A 52013-2023")</f>
        <v/>
      </c>
      <c r="W231">
        <f>HYPERLINK("https://klasma.github.io/Logging_1473/klagomålsmail/A 52013-2023 FSC-klagomål mail.docx", "A 52013-2023")</f>
        <v/>
      </c>
      <c r="X231">
        <f>HYPERLINK("https://klasma.github.io/Logging_1473/tillsyn/A 52013-2023 tillsynsbegäran.docx", "A 52013-2023")</f>
        <v/>
      </c>
      <c r="Y231">
        <f>HYPERLINK("https://klasma.github.io/Logging_1473/tillsynsmail/A 52013-2023 tillsynsbegäran mail.docx", "A 52013-2023")</f>
        <v/>
      </c>
    </row>
    <row r="232" ht="15" customHeight="1">
      <c r="A232" t="inlineStr">
        <is>
          <t>A 53197-2023</t>
        </is>
      </c>
      <c r="B232" s="1" t="n">
        <v>45229</v>
      </c>
      <c r="C232" s="1" t="n">
        <v>45586</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59006-2023</t>
        </is>
      </c>
      <c r="B233" s="1" t="n">
        <v>45252</v>
      </c>
      <c r="C233" s="1" t="n">
        <v>45586</v>
      </c>
      <c r="D233" t="inlineStr">
        <is>
          <t>VÄSTRA GÖTALANDS LÄN</t>
        </is>
      </c>
      <c r="E233" t="inlineStr">
        <is>
          <t>SVENLJUNGA</t>
        </is>
      </c>
      <c r="G233" t="n">
        <v>3.5</v>
      </c>
      <c r="H233" t="n">
        <v>0</v>
      </c>
      <c r="I233" t="n">
        <v>3</v>
      </c>
      <c r="J233" t="n">
        <v>0</v>
      </c>
      <c r="K233" t="n">
        <v>0</v>
      </c>
      <c r="L233" t="n">
        <v>0</v>
      </c>
      <c r="M233" t="n">
        <v>0</v>
      </c>
      <c r="N233" t="n">
        <v>0</v>
      </c>
      <c r="O233" t="n">
        <v>0</v>
      </c>
      <c r="P233" t="n">
        <v>0</v>
      </c>
      <c r="Q233" t="n">
        <v>3</v>
      </c>
      <c r="R233" s="2" t="inlineStr">
        <is>
          <t>Blåmossa
Bronshjon
Thomsons trägnagare</t>
        </is>
      </c>
      <c r="S233">
        <f>HYPERLINK("https://klasma.github.io/Logging_1465/artfynd/A 59006-2023 artfynd.xlsx", "A 59006-2023")</f>
        <v/>
      </c>
      <c r="T233">
        <f>HYPERLINK("https://klasma.github.io/Logging_1465/kartor/A 59006-2023 karta.png", "A 59006-2023")</f>
        <v/>
      </c>
      <c r="V233">
        <f>HYPERLINK("https://klasma.github.io/Logging_1465/klagomål/A 59006-2023 FSC-klagomål.docx", "A 59006-2023")</f>
        <v/>
      </c>
      <c r="W233">
        <f>HYPERLINK("https://klasma.github.io/Logging_1465/klagomålsmail/A 59006-2023 FSC-klagomål mail.docx", "A 59006-2023")</f>
        <v/>
      </c>
      <c r="X233">
        <f>HYPERLINK("https://klasma.github.io/Logging_1465/tillsyn/A 59006-2023 tillsynsbegäran.docx", "A 59006-2023")</f>
        <v/>
      </c>
      <c r="Y233">
        <f>HYPERLINK("https://klasma.github.io/Logging_1465/tillsynsmail/A 59006-2023 tillsynsbegäran mail.docx", "A 59006-2023")</f>
        <v/>
      </c>
    </row>
    <row r="234" ht="15" customHeight="1">
      <c r="A234" t="inlineStr">
        <is>
          <t>A 59215-2023</t>
        </is>
      </c>
      <c r="B234" s="1" t="n">
        <v>45253</v>
      </c>
      <c r="C234" s="1" t="n">
        <v>45586</v>
      </c>
      <c r="D234" t="inlineStr">
        <is>
          <t>VÄSTRA GÖTALANDS LÄN</t>
        </is>
      </c>
      <c r="E234" t="inlineStr">
        <is>
          <t>SKÖVDE</t>
        </is>
      </c>
      <c r="G234" t="n">
        <v>12.5</v>
      </c>
      <c r="H234" t="n">
        <v>1</v>
      </c>
      <c r="I234" t="n">
        <v>2</v>
      </c>
      <c r="J234" t="n">
        <v>0</v>
      </c>
      <c r="K234" t="n">
        <v>0</v>
      </c>
      <c r="L234" t="n">
        <v>0</v>
      </c>
      <c r="M234" t="n">
        <v>0</v>
      </c>
      <c r="N234" t="n">
        <v>0</v>
      </c>
      <c r="O234" t="n">
        <v>0</v>
      </c>
      <c r="P234" t="n">
        <v>0</v>
      </c>
      <c r="Q234" t="n">
        <v>3</v>
      </c>
      <c r="R234" s="2" t="inlineStr">
        <is>
          <t>Lundbräsma
Springkorn
Blåsippa</t>
        </is>
      </c>
      <c r="S234">
        <f>HYPERLINK("https://klasma.github.io/Logging_1496/artfynd/A 59215-2023 artfynd.xlsx", "A 59215-2023")</f>
        <v/>
      </c>
      <c r="T234">
        <f>HYPERLINK("https://klasma.github.io/Logging_1496/kartor/A 59215-2023 karta.png", "A 59215-2023")</f>
        <v/>
      </c>
      <c r="V234">
        <f>HYPERLINK("https://klasma.github.io/Logging_1496/klagomål/A 59215-2023 FSC-klagomål.docx", "A 59215-2023")</f>
        <v/>
      </c>
      <c r="W234">
        <f>HYPERLINK("https://klasma.github.io/Logging_1496/klagomålsmail/A 59215-2023 FSC-klagomål mail.docx", "A 59215-2023")</f>
        <v/>
      </c>
      <c r="X234">
        <f>HYPERLINK("https://klasma.github.io/Logging_1496/tillsyn/A 59215-2023 tillsynsbegäran.docx", "A 59215-2023")</f>
        <v/>
      </c>
      <c r="Y234">
        <f>HYPERLINK("https://klasma.github.io/Logging_1496/tillsynsmail/A 59215-2023 tillsynsbegäran mail.docx", "A 59215-2023")</f>
        <v/>
      </c>
    </row>
    <row r="235" ht="15" customHeight="1">
      <c r="A235" t="inlineStr">
        <is>
          <t>A 59364-2023</t>
        </is>
      </c>
      <c r="B235" s="1" t="n">
        <v>45253</v>
      </c>
      <c r="C235" s="1" t="n">
        <v>45586</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5489-2024</t>
        </is>
      </c>
      <c r="B236" s="1" t="n">
        <v>45334</v>
      </c>
      <c r="C236" s="1" t="n">
        <v>45586</v>
      </c>
      <c r="D236" t="inlineStr">
        <is>
          <t>VÄSTRA GÖTALANDS LÄN</t>
        </is>
      </c>
      <c r="E236" t="inlineStr">
        <is>
          <t>FALKÖPING</t>
        </is>
      </c>
      <c r="G236" t="n">
        <v>8.300000000000001</v>
      </c>
      <c r="H236" t="n">
        <v>1</v>
      </c>
      <c r="I236" t="n">
        <v>1</v>
      </c>
      <c r="J236" t="n">
        <v>1</v>
      </c>
      <c r="K236" t="n">
        <v>0</v>
      </c>
      <c r="L236" t="n">
        <v>0</v>
      </c>
      <c r="M236" t="n">
        <v>0</v>
      </c>
      <c r="N236" t="n">
        <v>0</v>
      </c>
      <c r="O236" t="n">
        <v>1</v>
      </c>
      <c r="P236" t="n">
        <v>0</v>
      </c>
      <c r="Q236" t="n">
        <v>3</v>
      </c>
      <c r="R236" s="2" t="inlineStr">
        <is>
          <t>Erastia ochraceolateritia
Rostfläck
Kungsfågel</t>
        </is>
      </c>
      <c r="S236">
        <f>HYPERLINK("https://klasma.github.io/Logging_1499/artfynd/A 5489-2024 artfynd.xlsx", "A 5489-2024")</f>
        <v/>
      </c>
      <c r="T236">
        <f>HYPERLINK("https://klasma.github.io/Logging_1499/kartor/A 5489-2024 karta.png", "A 5489-2024")</f>
        <v/>
      </c>
      <c r="V236">
        <f>HYPERLINK("https://klasma.github.io/Logging_1499/klagomål/A 5489-2024 FSC-klagomål.docx", "A 5489-2024")</f>
        <v/>
      </c>
      <c r="W236">
        <f>HYPERLINK("https://klasma.github.io/Logging_1499/klagomålsmail/A 5489-2024 FSC-klagomål mail.docx", "A 5489-2024")</f>
        <v/>
      </c>
      <c r="X236">
        <f>HYPERLINK("https://klasma.github.io/Logging_1499/tillsyn/A 5489-2024 tillsynsbegäran.docx", "A 5489-2024")</f>
        <v/>
      </c>
      <c r="Y236">
        <f>HYPERLINK("https://klasma.github.io/Logging_1499/tillsynsmail/A 5489-2024 tillsynsbegäran mail.docx", "A 5489-2024")</f>
        <v/>
      </c>
      <c r="Z236">
        <f>HYPERLINK("https://klasma.github.io/Logging_1499/fåglar/A 5489-2024 prioriterade fågelarter.docx", "A 5489-2024")</f>
        <v/>
      </c>
    </row>
    <row r="237" ht="15" customHeight="1">
      <c r="A237" t="inlineStr">
        <is>
          <t>A 5611-2024</t>
        </is>
      </c>
      <c r="B237" s="1" t="n">
        <v>45334</v>
      </c>
      <c r="C237" s="1" t="n">
        <v>45586</v>
      </c>
      <c r="D237" t="inlineStr">
        <is>
          <t>VÄSTRA GÖTALANDS LÄN</t>
        </is>
      </c>
      <c r="E237" t="inlineStr">
        <is>
          <t>LILLA EDET</t>
        </is>
      </c>
      <c r="G237" t="n">
        <v>11.8</v>
      </c>
      <c r="H237" t="n">
        <v>2</v>
      </c>
      <c r="I237" t="n">
        <v>1</v>
      </c>
      <c r="J237" t="n">
        <v>1</v>
      </c>
      <c r="K237" t="n">
        <v>0</v>
      </c>
      <c r="L237" t="n">
        <v>0</v>
      </c>
      <c r="M237" t="n">
        <v>0</v>
      </c>
      <c r="N237" t="n">
        <v>0</v>
      </c>
      <c r="O237" t="n">
        <v>1</v>
      </c>
      <c r="P237" t="n">
        <v>0</v>
      </c>
      <c r="Q237" t="n">
        <v>3</v>
      </c>
      <c r="R237" s="2" t="inlineStr">
        <is>
          <t>Spillkråka
Västlig hakmossa
Revlummer</t>
        </is>
      </c>
      <c r="S237">
        <f>HYPERLINK("https://klasma.github.io/Logging_1462/artfynd/A 5611-2024 artfynd.xlsx", "A 5611-2024")</f>
        <v/>
      </c>
      <c r="T237">
        <f>HYPERLINK("https://klasma.github.io/Logging_1462/kartor/A 5611-2024 karta.png", "A 5611-2024")</f>
        <v/>
      </c>
      <c r="V237">
        <f>HYPERLINK("https://klasma.github.io/Logging_1462/klagomål/A 5611-2024 FSC-klagomål.docx", "A 5611-2024")</f>
        <v/>
      </c>
      <c r="W237">
        <f>HYPERLINK("https://klasma.github.io/Logging_1462/klagomålsmail/A 5611-2024 FSC-klagomål mail.docx", "A 5611-2024")</f>
        <v/>
      </c>
      <c r="X237">
        <f>HYPERLINK("https://klasma.github.io/Logging_1462/tillsyn/A 5611-2024 tillsynsbegäran.docx", "A 5611-2024")</f>
        <v/>
      </c>
      <c r="Y237">
        <f>HYPERLINK("https://klasma.github.io/Logging_1462/tillsynsmail/A 5611-2024 tillsynsbegäran mail.docx", "A 5611-2024")</f>
        <v/>
      </c>
      <c r="Z237">
        <f>HYPERLINK("https://klasma.github.io/Logging_1462/fåglar/A 5611-2024 prioriterade fågelarter.docx", "A 5611-2024")</f>
        <v/>
      </c>
    </row>
    <row r="238" ht="15" customHeight="1">
      <c r="A238" t="inlineStr">
        <is>
          <t>A 5685-2024</t>
        </is>
      </c>
      <c r="B238" s="1" t="n">
        <v>45334</v>
      </c>
      <c r="C238" s="1" t="n">
        <v>45586</v>
      </c>
      <c r="D238" t="inlineStr">
        <is>
          <t>VÄSTRA GÖTALANDS LÄN</t>
        </is>
      </c>
      <c r="E238" t="inlineStr">
        <is>
          <t>STENUNGSUND</t>
        </is>
      </c>
      <c r="G238" t="n">
        <v>6.7</v>
      </c>
      <c r="H238" t="n">
        <v>0</v>
      </c>
      <c r="I238" t="n">
        <v>3</v>
      </c>
      <c r="J238" t="n">
        <v>0</v>
      </c>
      <c r="K238" t="n">
        <v>0</v>
      </c>
      <c r="L238" t="n">
        <v>0</v>
      </c>
      <c r="M238" t="n">
        <v>0</v>
      </c>
      <c r="N238" t="n">
        <v>0</v>
      </c>
      <c r="O238" t="n">
        <v>0</v>
      </c>
      <c r="P238" t="n">
        <v>0</v>
      </c>
      <c r="Q238" t="n">
        <v>3</v>
      </c>
      <c r="R238" s="2" t="inlineStr">
        <is>
          <t>Kambräken
Lundbräsma
Vätteros</t>
        </is>
      </c>
      <c r="S238">
        <f>HYPERLINK("https://klasma.github.io/Logging_1415/artfynd/A 5685-2024 artfynd.xlsx", "A 5685-2024")</f>
        <v/>
      </c>
      <c r="T238">
        <f>HYPERLINK("https://klasma.github.io/Logging_1415/kartor/A 5685-2024 karta.png", "A 5685-2024")</f>
        <v/>
      </c>
      <c r="V238">
        <f>HYPERLINK("https://klasma.github.io/Logging_1415/klagomål/A 5685-2024 FSC-klagomål.docx", "A 5685-2024")</f>
        <v/>
      </c>
      <c r="W238">
        <f>HYPERLINK("https://klasma.github.io/Logging_1415/klagomålsmail/A 5685-2024 FSC-klagomål mail.docx", "A 5685-2024")</f>
        <v/>
      </c>
      <c r="X238">
        <f>HYPERLINK("https://klasma.github.io/Logging_1415/tillsyn/A 5685-2024 tillsynsbegäran.docx", "A 5685-2024")</f>
        <v/>
      </c>
      <c r="Y238">
        <f>HYPERLINK("https://klasma.github.io/Logging_1415/tillsynsmail/A 5685-2024 tillsynsbegäran mail.docx", "A 5685-2024")</f>
        <v/>
      </c>
    </row>
    <row r="239" ht="15" customHeight="1">
      <c r="A239" t="inlineStr">
        <is>
          <t>A 8558-2024</t>
        </is>
      </c>
      <c r="B239" s="1" t="n">
        <v>45355</v>
      </c>
      <c r="C239" s="1" t="n">
        <v>45586</v>
      </c>
      <c r="D239" t="inlineStr">
        <is>
          <t>VÄSTRA GÖTALANDS LÄN</t>
        </is>
      </c>
      <c r="E239" t="inlineStr">
        <is>
          <t>KUNGÄLV</t>
        </is>
      </c>
      <c r="G239" t="n">
        <v>12.5</v>
      </c>
      <c r="H239" t="n">
        <v>3</v>
      </c>
      <c r="I239" t="n">
        <v>0</v>
      </c>
      <c r="J239" t="n">
        <v>2</v>
      </c>
      <c r="K239" t="n">
        <v>0</v>
      </c>
      <c r="L239" t="n">
        <v>0</v>
      </c>
      <c r="M239" t="n">
        <v>0</v>
      </c>
      <c r="N239" t="n">
        <v>0</v>
      </c>
      <c r="O239" t="n">
        <v>2</v>
      </c>
      <c r="P239" t="n">
        <v>0</v>
      </c>
      <c r="Q239" t="n">
        <v>3</v>
      </c>
      <c r="R239" s="2" t="inlineStr">
        <is>
          <t>Gulsparv
Spillkråka
Revlummer</t>
        </is>
      </c>
      <c r="S239">
        <f>HYPERLINK("https://klasma.github.io/Logging_1482/artfynd/A 8558-2024 artfynd.xlsx", "A 8558-2024")</f>
        <v/>
      </c>
      <c r="T239">
        <f>HYPERLINK("https://klasma.github.io/Logging_1482/kartor/A 8558-2024 karta.png", "A 8558-2024")</f>
        <v/>
      </c>
      <c r="V239">
        <f>HYPERLINK("https://klasma.github.io/Logging_1482/klagomål/A 8558-2024 FSC-klagomål.docx", "A 8558-2024")</f>
        <v/>
      </c>
      <c r="W239">
        <f>HYPERLINK("https://klasma.github.io/Logging_1482/klagomålsmail/A 8558-2024 FSC-klagomål mail.docx", "A 8558-2024")</f>
        <v/>
      </c>
      <c r="X239">
        <f>HYPERLINK("https://klasma.github.io/Logging_1482/tillsyn/A 8558-2024 tillsynsbegäran.docx", "A 8558-2024")</f>
        <v/>
      </c>
      <c r="Y239">
        <f>HYPERLINK("https://klasma.github.io/Logging_1482/tillsynsmail/A 8558-2024 tillsynsbegäran mail.docx", "A 8558-2024")</f>
        <v/>
      </c>
      <c r="Z239">
        <f>HYPERLINK("https://klasma.github.io/Logging_1482/fåglar/A 8558-2024 prioriterade fågelarter.docx", "A 8558-2024")</f>
        <v/>
      </c>
    </row>
    <row r="240" ht="15" customHeight="1">
      <c r="A240" t="inlineStr">
        <is>
          <t>A 10438-2024</t>
        </is>
      </c>
      <c r="B240" s="1" t="n">
        <v>45366</v>
      </c>
      <c r="C240" s="1" t="n">
        <v>45586</v>
      </c>
      <c r="D240" t="inlineStr">
        <is>
          <t>VÄSTRA GÖTALANDS LÄN</t>
        </is>
      </c>
      <c r="E240" t="inlineStr">
        <is>
          <t>TROLLHÄTTAN</t>
        </is>
      </c>
      <c r="G240" t="n">
        <v>2.4</v>
      </c>
      <c r="H240" t="n">
        <v>0</v>
      </c>
      <c r="I240" t="n">
        <v>3</v>
      </c>
      <c r="J240" t="n">
        <v>0</v>
      </c>
      <c r="K240" t="n">
        <v>0</v>
      </c>
      <c r="L240" t="n">
        <v>0</v>
      </c>
      <c r="M240" t="n">
        <v>0</v>
      </c>
      <c r="N240" t="n">
        <v>0</v>
      </c>
      <c r="O240" t="n">
        <v>0</v>
      </c>
      <c r="P240" t="n">
        <v>0</v>
      </c>
      <c r="Q240" t="n">
        <v>3</v>
      </c>
      <c r="R240" s="2" t="inlineStr">
        <is>
          <t>Fällmossa
Strutbräken
Stubbspretmossa</t>
        </is>
      </c>
      <c r="S240">
        <f>HYPERLINK("https://klasma.github.io/Logging_1488/artfynd/A 10438-2024 artfynd.xlsx", "A 10438-2024")</f>
        <v/>
      </c>
      <c r="T240">
        <f>HYPERLINK("https://klasma.github.io/Logging_1488/kartor/A 10438-2024 karta.png", "A 10438-2024")</f>
        <v/>
      </c>
      <c r="V240">
        <f>HYPERLINK("https://klasma.github.io/Logging_1488/klagomål/A 10438-2024 FSC-klagomål.docx", "A 10438-2024")</f>
        <v/>
      </c>
      <c r="W240">
        <f>HYPERLINK("https://klasma.github.io/Logging_1488/klagomålsmail/A 10438-2024 FSC-klagomål mail.docx", "A 10438-2024")</f>
        <v/>
      </c>
      <c r="X240">
        <f>HYPERLINK("https://klasma.github.io/Logging_1488/tillsyn/A 10438-2024 tillsynsbegäran.docx", "A 10438-2024")</f>
        <v/>
      </c>
      <c r="Y240">
        <f>HYPERLINK("https://klasma.github.io/Logging_1488/tillsynsmail/A 10438-2024 tillsynsbegäran mail.docx", "A 10438-2024")</f>
        <v/>
      </c>
    </row>
    <row r="241" ht="15" customHeight="1">
      <c r="A241" t="inlineStr">
        <is>
          <t>A 14449-2024</t>
        </is>
      </c>
      <c r="B241" s="1" t="n">
        <v>45394</v>
      </c>
      <c r="C241" s="1" t="n">
        <v>45586</v>
      </c>
      <c r="D241" t="inlineStr">
        <is>
          <t>VÄSTRA GÖTALANDS LÄN</t>
        </is>
      </c>
      <c r="E241" t="inlineStr">
        <is>
          <t>STRÖMSTAD</t>
        </is>
      </c>
      <c r="G241" t="n">
        <v>1.2</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HYPERLINK("https://klasma.github.io/Logging_1486/artfynd/A 14449-2024 artfynd.xlsx", "A 14449-2024")</f>
        <v/>
      </c>
      <c r="T241">
        <f>HYPERLINK("https://klasma.github.io/Logging_1486/kartor/A 14449-2024 karta.png", "A 14449-2024")</f>
        <v/>
      </c>
      <c r="U241">
        <f>HYPERLINK("https://klasma.github.io/Logging_1486/knärot/A 14449-2024 karta knärot.png", "A 14449-2024")</f>
        <v/>
      </c>
      <c r="V241">
        <f>HYPERLINK("https://klasma.github.io/Logging_1486/klagomål/A 14449-2024 FSC-klagomål.docx", "A 14449-2024")</f>
        <v/>
      </c>
      <c r="W241">
        <f>HYPERLINK("https://klasma.github.io/Logging_1486/klagomålsmail/A 14449-2024 FSC-klagomål mail.docx", "A 14449-2024")</f>
        <v/>
      </c>
      <c r="X241">
        <f>HYPERLINK("https://klasma.github.io/Logging_1486/tillsyn/A 14449-2024 tillsynsbegäran.docx", "A 14449-2024")</f>
        <v/>
      </c>
      <c r="Y241">
        <f>HYPERLINK("https://klasma.github.io/Logging_1486/tillsynsmail/A 14449-2024 tillsynsbegäran mail.docx", "A 14449-2024")</f>
        <v/>
      </c>
      <c r="Z241">
        <f>HYPERLINK("https://klasma.github.io/Logging_1486/fåglar/A 14449-2024 prioriterade fågelarter.docx", "A 14449-2024")</f>
        <v/>
      </c>
    </row>
    <row r="242" ht="15" customHeight="1">
      <c r="A242" t="inlineStr">
        <is>
          <t>A 14555-2024</t>
        </is>
      </c>
      <c r="B242" s="1" t="n">
        <v>45394</v>
      </c>
      <c r="C242" s="1" t="n">
        <v>45586</v>
      </c>
      <c r="D242" t="inlineStr">
        <is>
          <t>VÄSTRA GÖTALANDS LÄN</t>
        </is>
      </c>
      <c r="E242" t="inlineStr">
        <is>
          <t>DALS-ED</t>
        </is>
      </c>
      <c r="G242" t="n">
        <v>11.9</v>
      </c>
      <c r="H242" t="n">
        <v>2</v>
      </c>
      <c r="I242" t="n">
        <v>0</v>
      </c>
      <c r="J242" t="n">
        <v>1</v>
      </c>
      <c r="K242" t="n">
        <v>0</v>
      </c>
      <c r="L242" t="n">
        <v>0</v>
      </c>
      <c r="M242" t="n">
        <v>0</v>
      </c>
      <c r="N242" t="n">
        <v>0</v>
      </c>
      <c r="O242" t="n">
        <v>1</v>
      </c>
      <c r="P242" t="n">
        <v>0</v>
      </c>
      <c r="Q242" t="n">
        <v>3</v>
      </c>
      <c r="R242" s="2" t="inlineStr">
        <is>
          <t>Garnlav
Orre
Tjäder</t>
        </is>
      </c>
      <c r="S242">
        <f>HYPERLINK("https://klasma.github.io/Logging_1438/artfynd/A 14555-2024 artfynd.xlsx", "A 14555-2024")</f>
        <v/>
      </c>
      <c r="T242">
        <f>HYPERLINK("https://klasma.github.io/Logging_1438/kartor/A 14555-2024 karta.png", "A 14555-2024")</f>
        <v/>
      </c>
      <c r="V242">
        <f>HYPERLINK("https://klasma.github.io/Logging_1438/klagomål/A 14555-2024 FSC-klagomål.docx", "A 14555-2024")</f>
        <v/>
      </c>
      <c r="W242">
        <f>HYPERLINK("https://klasma.github.io/Logging_1438/klagomålsmail/A 14555-2024 FSC-klagomål mail.docx", "A 14555-2024")</f>
        <v/>
      </c>
      <c r="X242">
        <f>HYPERLINK("https://klasma.github.io/Logging_1438/tillsyn/A 14555-2024 tillsynsbegäran.docx", "A 14555-2024")</f>
        <v/>
      </c>
      <c r="Y242">
        <f>HYPERLINK("https://klasma.github.io/Logging_1438/tillsynsmail/A 14555-2024 tillsynsbegäran mail.docx", "A 14555-2024")</f>
        <v/>
      </c>
      <c r="Z242">
        <f>HYPERLINK("https://klasma.github.io/Logging_1438/fåglar/A 14555-2024 prioriterade fågelarter.docx", "A 14555-2024")</f>
        <v/>
      </c>
    </row>
    <row r="243" ht="15" customHeight="1">
      <c r="A243" t="inlineStr">
        <is>
          <t>A 14642-2024</t>
        </is>
      </c>
      <c r="B243" s="1" t="n">
        <v>45397</v>
      </c>
      <c r="C243" s="1" t="n">
        <v>45586</v>
      </c>
      <c r="D243" t="inlineStr">
        <is>
          <t>VÄSTRA GÖTALANDS LÄN</t>
        </is>
      </c>
      <c r="E243" t="inlineStr">
        <is>
          <t>BENGTSFORS</t>
        </is>
      </c>
      <c r="G243" t="n">
        <v>4.9</v>
      </c>
      <c r="H243" t="n">
        <v>1</v>
      </c>
      <c r="I243" t="n">
        <v>2</v>
      </c>
      <c r="J243" t="n">
        <v>0</v>
      </c>
      <c r="K243" t="n">
        <v>0</v>
      </c>
      <c r="L243" t="n">
        <v>0</v>
      </c>
      <c r="M243" t="n">
        <v>0</v>
      </c>
      <c r="N243" t="n">
        <v>0</v>
      </c>
      <c r="O243" t="n">
        <v>0</v>
      </c>
      <c r="P243" t="n">
        <v>0</v>
      </c>
      <c r="Q243" t="n">
        <v>3</v>
      </c>
      <c r="R243" s="2" t="inlineStr">
        <is>
          <t>Bårdlav
Korallblylav
Blåsippa</t>
        </is>
      </c>
      <c r="S243">
        <f>HYPERLINK("https://klasma.github.io/Logging_1460/artfynd/A 14642-2024 artfynd.xlsx", "A 14642-2024")</f>
        <v/>
      </c>
      <c r="T243">
        <f>HYPERLINK("https://klasma.github.io/Logging_1460/kartor/A 14642-2024 karta.png", "A 14642-2024")</f>
        <v/>
      </c>
      <c r="V243">
        <f>HYPERLINK("https://klasma.github.io/Logging_1460/klagomål/A 14642-2024 FSC-klagomål.docx", "A 14642-2024")</f>
        <v/>
      </c>
      <c r="W243">
        <f>HYPERLINK("https://klasma.github.io/Logging_1460/klagomålsmail/A 14642-2024 FSC-klagomål mail.docx", "A 14642-2024")</f>
        <v/>
      </c>
      <c r="X243">
        <f>HYPERLINK("https://klasma.github.io/Logging_1460/tillsyn/A 14642-2024 tillsynsbegäran.docx", "A 14642-2024")</f>
        <v/>
      </c>
      <c r="Y243">
        <f>HYPERLINK("https://klasma.github.io/Logging_1460/tillsynsmail/A 14642-2024 tillsynsbegäran mail.docx", "A 14642-2024")</f>
        <v/>
      </c>
    </row>
    <row r="244" ht="15" customHeight="1">
      <c r="A244" t="inlineStr">
        <is>
          <t>A 18328-2024</t>
        </is>
      </c>
      <c r="B244" s="1" t="n">
        <v>45422</v>
      </c>
      <c r="C244" s="1" t="n">
        <v>45586</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23828-2024</t>
        </is>
      </c>
      <c r="B245" s="1" t="n">
        <v>45455</v>
      </c>
      <c r="C245" s="1" t="n">
        <v>45586</v>
      </c>
      <c r="D245" t="inlineStr">
        <is>
          <t>VÄSTRA GÖTALANDS LÄN</t>
        </is>
      </c>
      <c r="E245" t="inlineStr">
        <is>
          <t>DALS-ED</t>
        </is>
      </c>
      <c r="F245" t="inlineStr">
        <is>
          <t>Bergvik skog väst AB</t>
        </is>
      </c>
      <c r="G245" t="n">
        <v>6.6</v>
      </c>
      <c r="H245" t="n">
        <v>2</v>
      </c>
      <c r="I245" t="n">
        <v>1</v>
      </c>
      <c r="J245" t="n">
        <v>2</v>
      </c>
      <c r="K245" t="n">
        <v>0</v>
      </c>
      <c r="L245" t="n">
        <v>0</v>
      </c>
      <c r="M245" t="n">
        <v>0</v>
      </c>
      <c r="N245" t="n">
        <v>0</v>
      </c>
      <c r="O245" t="n">
        <v>2</v>
      </c>
      <c r="P245" t="n">
        <v>0</v>
      </c>
      <c r="Q245" t="n">
        <v>3</v>
      </c>
      <c r="R245" s="2" t="inlineStr">
        <is>
          <t>Spillkråka
Talltita
Blåmossa</t>
        </is>
      </c>
      <c r="S245">
        <f>HYPERLINK("https://klasma.github.io/Logging_1438/artfynd/A 23828-2024 artfynd.xlsx", "A 23828-2024")</f>
        <v/>
      </c>
      <c r="T245">
        <f>HYPERLINK("https://klasma.github.io/Logging_1438/kartor/A 23828-2024 karta.png", "A 23828-2024")</f>
        <v/>
      </c>
      <c r="V245">
        <f>HYPERLINK("https://klasma.github.io/Logging_1438/klagomål/A 23828-2024 FSC-klagomål.docx", "A 23828-2024")</f>
        <v/>
      </c>
      <c r="W245">
        <f>HYPERLINK("https://klasma.github.io/Logging_1438/klagomålsmail/A 23828-2024 FSC-klagomål mail.docx", "A 23828-2024")</f>
        <v/>
      </c>
      <c r="X245">
        <f>HYPERLINK("https://klasma.github.io/Logging_1438/tillsyn/A 23828-2024 tillsynsbegäran.docx", "A 23828-2024")</f>
        <v/>
      </c>
      <c r="Y245">
        <f>HYPERLINK("https://klasma.github.io/Logging_1438/tillsynsmail/A 23828-2024 tillsynsbegäran mail.docx", "A 23828-2024")</f>
        <v/>
      </c>
      <c r="Z245">
        <f>HYPERLINK("https://klasma.github.io/Logging_1438/fåglar/A 23828-2024 prioriterade fågelarter.docx", "A 23828-2024")</f>
        <v/>
      </c>
    </row>
    <row r="246" ht="15" customHeight="1">
      <c r="A246" t="inlineStr">
        <is>
          <t>A 29367-2024</t>
        </is>
      </c>
      <c r="B246" s="1" t="n">
        <v>45483</v>
      </c>
      <c r="C246" s="1" t="n">
        <v>45586</v>
      </c>
      <c r="D246" t="inlineStr">
        <is>
          <t>VÄSTRA GÖTALANDS LÄN</t>
        </is>
      </c>
      <c r="E246" t="inlineStr">
        <is>
          <t>STENUNGSUND</t>
        </is>
      </c>
      <c r="G246" t="n">
        <v>3.5</v>
      </c>
      <c r="H246" t="n">
        <v>0</v>
      </c>
      <c r="I246" t="n">
        <v>2</v>
      </c>
      <c r="J246" t="n">
        <v>1</v>
      </c>
      <c r="K246" t="n">
        <v>0</v>
      </c>
      <c r="L246" t="n">
        <v>0</v>
      </c>
      <c r="M246" t="n">
        <v>0</v>
      </c>
      <c r="N246" t="n">
        <v>0</v>
      </c>
      <c r="O246" t="n">
        <v>1</v>
      </c>
      <c r="P246" t="n">
        <v>0</v>
      </c>
      <c r="Q246" t="n">
        <v>3</v>
      </c>
      <c r="R246" s="2" t="inlineStr">
        <is>
          <t>Desmeknopp
Springkorn
Strutbräken</t>
        </is>
      </c>
      <c r="S246">
        <f>HYPERLINK("https://klasma.github.io/Logging_1415/artfynd/A 29367-2024 artfynd.xlsx", "A 29367-2024")</f>
        <v/>
      </c>
      <c r="T246">
        <f>HYPERLINK("https://klasma.github.io/Logging_1415/kartor/A 29367-2024 karta.png", "A 29367-2024")</f>
        <v/>
      </c>
      <c r="V246">
        <f>HYPERLINK("https://klasma.github.io/Logging_1415/klagomål/A 29367-2024 FSC-klagomål.docx", "A 29367-2024")</f>
        <v/>
      </c>
      <c r="W246">
        <f>HYPERLINK("https://klasma.github.io/Logging_1415/klagomålsmail/A 29367-2024 FSC-klagomål mail.docx", "A 29367-2024")</f>
        <v/>
      </c>
      <c r="X246">
        <f>HYPERLINK("https://klasma.github.io/Logging_1415/tillsyn/A 29367-2024 tillsynsbegäran.docx", "A 29367-2024")</f>
        <v/>
      </c>
      <c r="Y246">
        <f>HYPERLINK("https://klasma.github.io/Logging_1415/tillsynsmail/A 29367-2024 tillsynsbegäran mail.docx", "A 29367-2024")</f>
        <v/>
      </c>
    </row>
    <row r="247" ht="15" customHeight="1">
      <c r="A247" t="inlineStr">
        <is>
          <t>A 31621-2024</t>
        </is>
      </c>
      <c r="B247" s="1" t="n">
        <v>45506</v>
      </c>
      <c r="C247" s="1" t="n">
        <v>45586</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33988-2024</t>
        </is>
      </c>
      <c r="B248" s="1" t="n">
        <v>45523</v>
      </c>
      <c r="C248" s="1" t="n">
        <v>45586</v>
      </c>
      <c r="D248" t="inlineStr">
        <is>
          <t>VÄSTRA GÖTALANDS LÄN</t>
        </is>
      </c>
      <c r="E248" t="inlineStr">
        <is>
          <t>SVENLJUNGA</t>
        </is>
      </c>
      <c r="G248" t="n">
        <v>4.4</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33988-2024 artfynd.xlsx", "A 33988-2024")</f>
        <v/>
      </c>
      <c r="T248">
        <f>HYPERLINK("https://klasma.github.io/Logging_1465/kartor/A 33988-2024 karta.png", "A 33988-2024")</f>
        <v/>
      </c>
      <c r="V248">
        <f>HYPERLINK("https://klasma.github.io/Logging_1465/klagomål/A 33988-2024 FSC-klagomål.docx", "A 33988-2024")</f>
        <v/>
      </c>
      <c r="W248">
        <f>HYPERLINK("https://klasma.github.io/Logging_1465/klagomålsmail/A 33988-2024 FSC-klagomål mail.docx", "A 33988-2024")</f>
        <v/>
      </c>
      <c r="X248">
        <f>HYPERLINK("https://klasma.github.io/Logging_1465/tillsyn/A 33988-2024 tillsynsbegäran.docx", "A 33988-2024")</f>
        <v/>
      </c>
      <c r="Y248">
        <f>HYPERLINK("https://klasma.github.io/Logging_1465/tillsynsmail/A 33988-2024 tillsynsbegäran mail.docx", "A 33988-2024")</f>
        <v/>
      </c>
    </row>
    <row r="249" ht="15" customHeight="1">
      <c r="A249" t="inlineStr">
        <is>
          <t>A 39553-2024</t>
        </is>
      </c>
      <c r="B249" s="1" t="n">
        <v>45551</v>
      </c>
      <c r="C249" s="1" t="n">
        <v>45586</v>
      </c>
      <c r="D249" t="inlineStr">
        <is>
          <t>VÄSTRA GÖTALANDS LÄN</t>
        </is>
      </c>
      <c r="E249" t="inlineStr">
        <is>
          <t>GULLSPÅNG</t>
        </is>
      </c>
      <c r="G249" t="n">
        <v>11.5</v>
      </c>
      <c r="H249" t="n">
        <v>3</v>
      </c>
      <c r="I249" t="n">
        <v>0</v>
      </c>
      <c r="J249" t="n">
        <v>2</v>
      </c>
      <c r="K249" t="n">
        <v>0</v>
      </c>
      <c r="L249" t="n">
        <v>0</v>
      </c>
      <c r="M249" t="n">
        <v>0</v>
      </c>
      <c r="N249" t="n">
        <v>0</v>
      </c>
      <c r="O249" t="n">
        <v>2</v>
      </c>
      <c r="P249" t="n">
        <v>0</v>
      </c>
      <c r="Q249" t="n">
        <v>3</v>
      </c>
      <c r="R249" s="2" t="inlineStr">
        <is>
          <t>Gulsparv
Ärtsångare
Grönsiska</t>
        </is>
      </c>
      <c r="S249">
        <f>HYPERLINK("https://klasma.github.io/Logging_1447/artfynd/A 39553-2024 artfynd.xlsx", "A 39553-2024")</f>
        <v/>
      </c>
      <c r="T249">
        <f>HYPERLINK("https://klasma.github.io/Logging_1447/kartor/A 39553-2024 karta.png", "A 39553-2024")</f>
        <v/>
      </c>
      <c r="V249">
        <f>HYPERLINK("https://klasma.github.io/Logging_1447/klagomål/A 39553-2024 FSC-klagomål.docx", "A 39553-2024")</f>
        <v/>
      </c>
      <c r="W249">
        <f>HYPERLINK("https://klasma.github.io/Logging_1447/klagomålsmail/A 39553-2024 FSC-klagomål mail.docx", "A 39553-2024")</f>
        <v/>
      </c>
      <c r="X249">
        <f>HYPERLINK("https://klasma.github.io/Logging_1447/tillsyn/A 39553-2024 tillsynsbegäran.docx", "A 39553-2024")</f>
        <v/>
      </c>
      <c r="Y249">
        <f>HYPERLINK("https://klasma.github.io/Logging_1447/tillsynsmail/A 39553-2024 tillsynsbegäran mail.docx", "A 39553-2024")</f>
        <v/>
      </c>
      <c r="Z249">
        <f>HYPERLINK("https://klasma.github.io/Logging_1447/fåglar/A 39553-2024 prioriterade fågelarter.docx", "A 39553-2024")</f>
        <v/>
      </c>
    </row>
    <row r="250" ht="15" customHeight="1">
      <c r="A250" t="inlineStr">
        <is>
          <t>A 43477-2024</t>
        </is>
      </c>
      <c r="B250" s="1" t="n">
        <v>45568</v>
      </c>
      <c r="C250" s="1" t="n">
        <v>45586</v>
      </c>
      <c r="D250" t="inlineStr">
        <is>
          <t>VÄSTRA GÖTALANDS LÄN</t>
        </is>
      </c>
      <c r="E250" t="inlineStr">
        <is>
          <t>ALINGSÅS</t>
        </is>
      </c>
      <c r="G250" t="n">
        <v>10.3</v>
      </c>
      <c r="H250" t="n">
        <v>1</v>
      </c>
      <c r="I250" t="n">
        <v>2</v>
      </c>
      <c r="J250" t="n">
        <v>0</v>
      </c>
      <c r="K250" t="n">
        <v>0</v>
      </c>
      <c r="L250" t="n">
        <v>0</v>
      </c>
      <c r="M250" t="n">
        <v>0</v>
      </c>
      <c r="N250" t="n">
        <v>0</v>
      </c>
      <c r="O250" t="n">
        <v>0</v>
      </c>
      <c r="P250" t="n">
        <v>0</v>
      </c>
      <c r="Q250" t="n">
        <v>3</v>
      </c>
      <c r="R250" s="2" t="inlineStr">
        <is>
          <t>Kambräken
Västlig hakmossa
Revlummer</t>
        </is>
      </c>
      <c r="S250">
        <f>HYPERLINK("https://klasma.github.io/Logging_1489/artfynd/A 43477-2024 artfynd.xlsx", "A 43477-2024")</f>
        <v/>
      </c>
      <c r="T250">
        <f>HYPERLINK("https://klasma.github.io/Logging_1489/kartor/A 43477-2024 karta.png", "A 43477-2024")</f>
        <v/>
      </c>
      <c r="V250">
        <f>HYPERLINK("https://klasma.github.io/Logging_1489/klagomål/A 43477-2024 FSC-klagomål.docx", "A 43477-2024")</f>
        <v/>
      </c>
      <c r="W250">
        <f>HYPERLINK("https://klasma.github.io/Logging_1489/klagomålsmail/A 43477-2024 FSC-klagomål mail.docx", "A 43477-2024")</f>
        <v/>
      </c>
      <c r="X250">
        <f>HYPERLINK("https://klasma.github.io/Logging_1489/tillsyn/A 43477-2024 tillsynsbegäran.docx", "A 43477-2024")</f>
        <v/>
      </c>
      <c r="Y250">
        <f>HYPERLINK("https://klasma.github.io/Logging_1489/tillsynsmail/A 43477-2024 tillsynsbegäran mail.docx", "A 43477-2024")</f>
        <v/>
      </c>
    </row>
    <row r="251" ht="15" customHeight="1">
      <c r="A251" t="inlineStr">
        <is>
          <t>A 44272-2024</t>
        </is>
      </c>
      <c r="B251" s="1" t="n">
        <v>45573</v>
      </c>
      <c r="C251" s="1" t="n">
        <v>45586</v>
      </c>
      <c r="D251" t="inlineStr">
        <is>
          <t>VÄSTRA GÖTALANDS LÄN</t>
        </is>
      </c>
      <c r="E251" t="inlineStr">
        <is>
          <t>STENUNGSUND</t>
        </is>
      </c>
      <c r="G251" t="n">
        <v>3.8</v>
      </c>
      <c r="H251" t="n">
        <v>3</v>
      </c>
      <c r="I251" t="n">
        <v>0</v>
      </c>
      <c r="J251" t="n">
        <v>0</v>
      </c>
      <c r="K251" t="n">
        <v>0</v>
      </c>
      <c r="L251" t="n">
        <v>0</v>
      </c>
      <c r="M251" t="n">
        <v>0</v>
      </c>
      <c r="N251" t="n">
        <v>0</v>
      </c>
      <c r="O251" t="n">
        <v>0</v>
      </c>
      <c r="P251" t="n">
        <v>0</v>
      </c>
      <c r="Q251" t="n">
        <v>3</v>
      </c>
      <c r="R251" s="2" t="inlineStr">
        <is>
          <t>Lopplummer
Mattlummer
Revlummer</t>
        </is>
      </c>
      <c r="S251">
        <f>HYPERLINK("https://klasma.github.io/Logging_1415/artfynd/A 44272-2024 artfynd.xlsx", "A 44272-2024")</f>
        <v/>
      </c>
      <c r="T251">
        <f>HYPERLINK("https://klasma.github.io/Logging_1415/kartor/A 44272-2024 karta.png", "A 44272-2024")</f>
        <v/>
      </c>
      <c r="V251">
        <f>HYPERLINK("https://klasma.github.io/Logging_1415/klagomål/A 44272-2024 FSC-klagomål.docx", "A 44272-2024")</f>
        <v/>
      </c>
      <c r="W251">
        <f>HYPERLINK("https://klasma.github.io/Logging_1415/klagomålsmail/A 44272-2024 FSC-klagomål mail.docx", "A 44272-2024")</f>
        <v/>
      </c>
      <c r="X251">
        <f>HYPERLINK("https://klasma.github.io/Logging_1415/tillsyn/A 44272-2024 tillsynsbegäran.docx", "A 44272-2024")</f>
        <v/>
      </c>
      <c r="Y251">
        <f>HYPERLINK("https://klasma.github.io/Logging_1415/tillsynsmail/A 44272-2024 tillsynsbegäran mail.docx", "A 44272-2024")</f>
        <v/>
      </c>
    </row>
    <row r="252" ht="15" customHeight="1">
      <c r="A252" t="inlineStr">
        <is>
          <t>A 22215-2019</t>
        </is>
      </c>
      <c r="B252" s="1" t="n">
        <v>43585</v>
      </c>
      <c r="C252" s="1" t="n">
        <v>45586</v>
      </c>
      <c r="D252" t="inlineStr">
        <is>
          <t>VÄSTRA GÖTALANDS LÄN</t>
        </is>
      </c>
      <c r="E252" t="inlineStr">
        <is>
          <t>BORÅS</t>
        </is>
      </c>
      <c r="G252" t="n">
        <v>7.7</v>
      </c>
      <c r="H252" t="n">
        <v>2</v>
      </c>
      <c r="I252" t="n">
        <v>0</v>
      </c>
      <c r="J252" t="n">
        <v>1</v>
      </c>
      <c r="K252" t="n">
        <v>0</v>
      </c>
      <c r="L252" t="n">
        <v>0</v>
      </c>
      <c r="M252" t="n">
        <v>0</v>
      </c>
      <c r="N252" t="n">
        <v>0</v>
      </c>
      <c r="O252" t="n">
        <v>1</v>
      </c>
      <c r="P252" t="n">
        <v>0</v>
      </c>
      <c r="Q252" t="n">
        <v>2</v>
      </c>
      <c r="R252" s="2" t="inlineStr">
        <is>
          <t>Spillkråka
Revlummer</t>
        </is>
      </c>
      <c r="S252">
        <f>HYPERLINK("https://klasma.github.io/Logging_1490/artfynd/A 22215-2019 artfynd.xlsx", "A 22215-2019")</f>
        <v/>
      </c>
      <c r="T252">
        <f>HYPERLINK("https://klasma.github.io/Logging_1490/kartor/A 22215-2019 karta.png", "A 22215-2019")</f>
        <v/>
      </c>
      <c r="V252">
        <f>HYPERLINK("https://klasma.github.io/Logging_1490/klagomål/A 22215-2019 FSC-klagomål.docx", "A 22215-2019")</f>
        <v/>
      </c>
      <c r="W252">
        <f>HYPERLINK("https://klasma.github.io/Logging_1490/klagomålsmail/A 22215-2019 FSC-klagomål mail.docx", "A 22215-2019")</f>
        <v/>
      </c>
      <c r="X252">
        <f>HYPERLINK("https://klasma.github.io/Logging_1490/tillsyn/A 22215-2019 tillsynsbegäran.docx", "A 22215-2019")</f>
        <v/>
      </c>
      <c r="Y252">
        <f>HYPERLINK("https://klasma.github.io/Logging_1490/tillsynsmail/A 22215-2019 tillsynsbegäran mail.docx", "A 22215-2019")</f>
        <v/>
      </c>
      <c r="Z252">
        <f>HYPERLINK("https://klasma.github.io/Logging_1490/fåglar/A 22215-2019 prioriterade fågelarter.docx", "A 22215-2019")</f>
        <v/>
      </c>
    </row>
    <row r="253" ht="15" customHeight="1">
      <c r="A253" t="inlineStr">
        <is>
          <t>A 24713-2019</t>
        </is>
      </c>
      <c r="B253" s="1" t="n">
        <v>43601</v>
      </c>
      <c r="C253" s="1" t="n">
        <v>45586</v>
      </c>
      <c r="D253" t="inlineStr">
        <is>
          <t>VÄSTRA GÖTALANDS LÄN</t>
        </is>
      </c>
      <c r="E253" t="inlineStr">
        <is>
          <t>LERUM</t>
        </is>
      </c>
      <c r="G253" t="n">
        <v>2.8</v>
      </c>
      <c r="H253" t="n">
        <v>0</v>
      </c>
      <c r="I253" t="n">
        <v>0</v>
      </c>
      <c r="J253" t="n">
        <v>2</v>
      </c>
      <c r="K253" t="n">
        <v>0</v>
      </c>
      <c r="L253" t="n">
        <v>0</v>
      </c>
      <c r="M253" t="n">
        <v>0</v>
      </c>
      <c r="N253" t="n">
        <v>0</v>
      </c>
      <c r="O253" t="n">
        <v>2</v>
      </c>
      <c r="P253" t="n">
        <v>0</v>
      </c>
      <c r="Q253" t="n">
        <v>2</v>
      </c>
      <c r="R253" s="2" t="inlineStr">
        <is>
          <t>Grantaggsvamp
Svartvit taggsvamp</t>
        </is>
      </c>
      <c r="S253">
        <f>HYPERLINK("https://klasma.github.io/Logging_1441/artfynd/A 24713-2019 artfynd.xlsx", "A 24713-2019")</f>
        <v/>
      </c>
      <c r="T253">
        <f>HYPERLINK("https://klasma.github.io/Logging_1441/kartor/A 24713-2019 karta.png", "A 24713-2019")</f>
        <v/>
      </c>
      <c r="V253">
        <f>HYPERLINK("https://klasma.github.io/Logging_1441/klagomål/A 24713-2019 FSC-klagomål.docx", "A 24713-2019")</f>
        <v/>
      </c>
      <c r="W253">
        <f>HYPERLINK("https://klasma.github.io/Logging_1441/klagomålsmail/A 24713-2019 FSC-klagomål mail.docx", "A 24713-2019")</f>
        <v/>
      </c>
      <c r="X253">
        <f>HYPERLINK("https://klasma.github.io/Logging_1441/tillsyn/A 24713-2019 tillsynsbegäran.docx", "A 24713-2019")</f>
        <v/>
      </c>
      <c r="Y253">
        <f>HYPERLINK("https://klasma.github.io/Logging_1441/tillsynsmail/A 24713-2019 tillsynsbegäran mail.docx", "A 24713-2019")</f>
        <v/>
      </c>
    </row>
    <row r="254" ht="15" customHeight="1">
      <c r="A254" t="inlineStr">
        <is>
          <t>A 25432-2019</t>
        </is>
      </c>
      <c r="B254" s="1" t="n">
        <v>43606</v>
      </c>
      <c r="C254" s="1" t="n">
        <v>45586</v>
      </c>
      <c r="D254" t="inlineStr">
        <is>
          <t>VÄSTRA GÖTALANDS LÄN</t>
        </is>
      </c>
      <c r="E254" t="inlineStr">
        <is>
          <t>ALE</t>
        </is>
      </c>
      <c r="G254" t="n">
        <v>5</v>
      </c>
      <c r="H254" t="n">
        <v>0</v>
      </c>
      <c r="I254" t="n">
        <v>2</v>
      </c>
      <c r="J254" t="n">
        <v>0</v>
      </c>
      <c r="K254" t="n">
        <v>0</v>
      </c>
      <c r="L254" t="n">
        <v>0</v>
      </c>
      <c r="M254" t="n">
        <v>0</v>
      </c>
      <c r="N254" t="n">
        <v>0</v>
      </c>
      <c r="O254" t="n">
        <v>0</v>
      </c>
      <c r="P254" t="n">
        <v>0</v>
      </c>
      <c r="Q254" t="n">
        <v>2</v>
      </c>
      <c r="R254" s="2" t="inlineStr">
        <is>
          <t>Blåmossa
Klippfrullania</t>
        </is>
      </c>
      <c r="S254">
        <f>HYPERLINK("https://klasma.github.io/Logging_1440/artfynd/A 25432-2019 artfynd.xlsx", "A 25432-2019")</f>
        <v/>
      </c>
      <c r="T254">
        <f>HYPERLINK("https://klasma.github.io/Logging_1440/kartor/A 25432-2019 karta.png", "A 25432-2019")</f>
        <v/>
      </c>
      <c r="V254">
        <f>HYPERLINK("https://klasma.github.io/Logging_1440/klagomål/A 25432-2019 FSC-klagomål.docx", "A 25432-2019")</f>
        <v/>
      </c>
      <c r="W254">
        <f>HYPERLINK("https://klasma.github.io/Logging_1440/klagomålsmail/A 25432-2019 FSC-klagomål mail.docx", "A 25432-2019")</f>
        <v/>
      </c>
      <c r="X254">
        <f>HYPERLINK("https://klasma.github.io/Logging_1440/tillsyn/A 25432-2019 tillsynsbegäran.docx", "A 25432-2019")</f>
        <v/>
      </c>
      <c r="Y254">
        <f>HYPERLINK("https://klasma.github.io/Logging_1440/tillsynsmail/A 25432-2019 tillsynsbegäran mail.docx", "A 25432-2019")</f>
        <v/>
      </c>
    </row>
    <row r="255" ht="15" customHeight="1">
      <c r="A255" t="inlineStr">
        <is>
          <t>A 26114-2019</t>
        </is>
      </c>
      <c r="B255" s="1" t="n">
        <v>43609</v>
      </c>
      <c r="C255" s="1" t="n">
        <v>45586</v>
      </c>
      <c r="D255" t="inlineStr">
        <is>
          <t>VÄSTRA GÖTALANDS LÄN</t>
        </is>
      </c>
      <c r="E255" t="inlineStr">
        <is>
          <t>TJÖRN</t>
        </is>
      </c>
      <c r="G255" t="n">
        <v>6.9</v>
      </c>
      <c r="H255" t="n">
        <v>0</v>
      </c>
      <c r="I255" t="n">
        <v>0</v>
      </c>
      <c r="J255" t="n">
        <v>2</v>
      </c>
      <c r="K255" t="n">
        <v>0</v>
      </c>
      <c r="L255" t="n">
        <v>0</v>
      </c>
      <c r="M255" t="n">
        <v>0</v>
      </c>
      <c r="N255" t="n">
        <v>0</v>
      </c>
      <c r="O255" t="n">
        <v>2</v>
      </c>
      <c r="P255" t="n">
        <v>0</v>
      </c>
      <c r="Q255" t="n">
        <v>2</v>
      </c>
      <c r="R255" s="2" t="inlineStr">
        <is>
          <t>Mindre ekbock
Sexfläckig blombock</t>
        </is>
      </c>
      <c r="S255">
        <f>HYPERLINK("https://klasma.github.io/Logging_1419/artfynd/A 26114-2019 artfynd.xlsx", "A 26114-2019")</f>
        <v/>
      </c>
      <c r="T255">
        <f>HYPERLINK("https://klasma.github.io/Logging_1419/kartor/A 26114-2019 karta.png", "A 26114-2019")</f>
        <v/>
      </c>
      <c r="V255">
        <f>HYPERLINK("https://klasma.github.io/Logging_1419/klagomål/A 26114-2019 FSC-klagomål.docx", "A 26114-2019")</f>
        <v/>
      </c>
      <c r="W255">
        <f>HYPERLINK("https://klasma.github.io/Logging_1419/klagomålsmail/A 26114-2019 FSC-klagomål mail.docx", "A 26114-2019")</f>
        <v/>
      </c>
      <c r="X255">
        <f>HYPERLINK("https://klasma.github.io/Logging_1419/tillsyn/A 26114-2019 tillsynsbegäran.docx", "A 26114-2019")</f>
        <v/>
      </c>
      <c r="Y255">
        <f>HYPERLINK("https://klasma.github.io/Logging_1419/tillsynsmail/A 26114-2019 tillsynsbegäran mail.docx", "A 26114-2019")</f>
        <v/>
      </c>
    </row>
    <row r="256" ht="15" customHeight="1">
      <c r="A256" t="inlineStr">
        <is>
          <t>A 28477-2019</t>
        </is>
      </c>
      <c r="B256" s="1" t="n">
        <v>43626</v>
      </c>
      <c r="C256" s="1" t="n">
        <v>45586</v>
      </c>
      <c r="D256" t="inlineStr">
        <is>
          <t>VÄSTRA GÖTALANDS LÄN</t>
        </is>
      </c>
      <c r="E256" t="inlineStr">
        <is>
          <t>SKÖVDE</t>
        </is>
      </c>
      <c r="G256" t="n">
        <v>2</v>
      </c>
      <c r="H256" t="n">
        <v>0</v>
      </c>
      <c r="I256" t="n">
        <v>2</v>
      </c>
      <c r="J256" t="n">
        <v>0</v>
      </c>
      <c r="K256" t="n">
        <v>0</v>
      </c>
      <c r="L256" t="n">
        <v>0</v>
      </c>
      <c r="M256" t="n">
        <v>0</v>
      </c>
      <c r="N256" t="n">
        <v>0</v>
      </c>
      <c r="O256" t="n">
        <v>0</v>
      </c>
      <c r="P256" t="n">
        <v>0</v>
      </c>
      <c r="Q256" t="n">
        <v>2</v>
      </c>
      <c r="R256" s="2" t="inlineStr">
        <is>
          <t>Blå slemspindling
Diskvaxskivling</t>
        </is>
      </c>
      <c r="S256">
        <f>HYPERLINK("https://klasma.github.io/Logging_1496/artfynd/A 28477-2019 artfynd.xlsx", "A 28477-2019")</f>
        <v/>
      </c>
      <c r="T256">
        <f>HYPERLINK("https://klasma.github.io/Logging_1496/kartor/A 28477-2019 karta.png", "A 28477-2019")</f>
        <v/>
      </c>
      <c r="V256">
        <f>HYPERLINK("https://klasma.github.io/Logging_1496/klagomål/A 28477-2019 FSC-klagomål.docx", "A 28477-2019")</f>
        <v/>
      </c>
      <c r="W256">
        <f>HYPERLINK("https://klasma.github.io/Logging_1496/klagomålsmail/A 28477-2019 FSC-klagomål mail.docx", "A 28477-2019")</f>
        <v/>
      </c>
      <c r="X256">
        <f>HYPERLINK("https://klasma.github.io/Logging_1496/tillsyn/A 28477-2019 tillsynsbegäran.docx", "A 28477-2019")</f>
        <v/>
      </c>
      <c r="Y256">
        <f>HYPERLINK("https://klasma.github.io/Logging_1496/tillsynsmail/A 28477-2019 tillsynsbegäran mail.docx", "A 28477-2019")</f>
        <v/>
      </c>
    </row>
    <row r="257" ht="15" customHeight="1">
      <c r="A257" t="inlineStr">
        <is>
          <t>A 29573-2019</t>
        </is>
      </c>
      <c r="B257" s="1" t="n">
        <v>43628</v>
      </c>
      <c r="C257" s="1" t="n">
        <v>45586</v>
      </c>
      <c r="D257" t="inlineStr">
        <is>
          <t>VÄSTRA GÖTALANDS LÄN</t>
        </is>
      </c>
      <c r="E257" t="inlineStr">
        <is>
          <t>BENGTSFORS</t>
        </is>
      </c>
      <c r="G257" t="n">
        <v>10.9</v>
      </c>
      <c r="H257" t="n">
        <v>0</v>
      </c>
      <c r="I257" t="n">
        <v>2</v>
      </c>
      <c r="J257" t="n">
        <v>0</v>
      </c>
      <c r="K257" t="n">
        <v>0</v>
      </c>
      <c r="L257" t="n">
        <v>0</v>
      </c>
      <c r="M257" t="n">
        <v>0</v>
      </c>
      <c r="N257" t="n">
        <v>0</v>
      </c>
      <c r="O257" t="n">
        <v>0</v>
      </c>
      <c r="P257" t="n">
        <v>0</v>
      </c>
      <c r="Q257" t="n">
        <v>2</v>
      </c>
      <c r="R257" s="2" t="inlineStr">
        <is>
          <t>Svart trolldruva
Sårläka</t>
        </is>
      </c>
      <c r="S257">
        <f>HYPERLINK("https://klasma.github.io/Logging_1460/artfynd/A 29573-2019 artfynd.xlsx", "A 29573-2019")</f>
        <v/>
      </c>
      <c r="T257">
        <f>HYPERLINK("https://klasma.github.io/Logging_1460/kartor/A 29573-2019 karta.png", "A 29573-2019")</f>
        <v/>
      </c>
      <c r="V257">
        <f>HYPERLINK("https://klasma.github.io/Logging_1460/klagomål/A 29573-2019 FSC-klagomål.docx", "A 29573-2019")</f>
        <v/>
      </c>
      <c r="W257">
        <f>HYPERLINK("https://klasma.github.io/Logging_1460/klagomålsmail/A 29573-2019 FSC-klagomål mail.docx", "A 29573-2019")</f>
        <v/>
      </c>
      <c r="X257">
        <f>HYPERLINK("https://klasma.github.io/Logging_1460/tillsyn/A 29573-2019 tillsynsbegäran.docx", "A 29573-2019")</f>
        <v/>
      </c>
      <c r="Y257">
        <f>HYPERLINK("https://klasma.github.io/Logging_1460/tillsynsmail/A 29573-2019 tillsynsbegäran mail.docx", "A 29573-2019")</f>
        <v/>
      </c>
    </row>
    <row r="258" ht="15" customHeight="1">
      <c r="A258" t="inlineStr">
        <is>
          <t>A 31881-2019</t>
        </is>
      </c>
      <c r="B258" s="1" t="n">
        <v>43641</v>
      </c>
      <c r="C258" s="1" t="n">
        <v>45586</v>
      </c>
      <c r="D258" t="inlineStr">
        <is>
          <t>VÄSTRA GÖTALANDS LÄN</t>
        </is>
      </c>
      <c r="E258" t="inlineStr">
        <is>
          <t>BORÅS</t>
        </is>
      </c>
      <c r="F258" t="inlineStr">
        <is>
          <t>Kommuner</t>
        </is>
      </c>
      <c r="G258" t="n">
        <v>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HYPERLINK("https://klasma.github.io/Logging_1490/artfynd/A 31881-2019 artfynd.xlsx", "A 31881-2019")</f>
        <v/>
      </c>
      <c r="T258">
        <f>HYPERLINK("https://klasma.github.io/Logging_1490/kartor/A 31881-2019 karta.png", "A 31881-2019")</f>
        <v/>
      </c>
      <c r="V258">
        <f>HYPERLINK("https://klasma.github.io/Logging_1490/klagomål/A 31881-2019 FSC-klagomål.docx", "A 31881-2019")</f>
        <v/>
      </c>
      <c r="W258">
        <f>HYPERLINK("https://klasma.github.io/Logging_1490/klagomålsmail/A 31881-2019 FSC-klagomål mail.docx", "A 31881-2019")</f>
        <v/>
      </c>
      <c r="X258">
        <f>HYPERLINK("https://klasma.github.io/Logging_1490/tillsyn/A 31881-2019 tillsynsbegäran.docx", "A 31881-2019")</f>
        <v/>
      </c>
      <c r="Y258">
        <f>HYPERLINK("https://klasma.github.io/Logging_1490/tillsynsmail/A 31881-2019 tillsynsbegäran mail.docx", "A 31881-2019")</f>
        <v/>
      </c>
      <c r="Z258">
        <f>HYPERLINK("https://klasma.github.io/Logging_1490/fåglar/A 31881-2019 prioriterade fågelarter.docx", "A 31881-2019")</f>
        <v/>
      </c>
    </row>
    <row r="259" ht="15" customHeight="1">
      <c r="A259" t="inlineStr">
        <is>
          <t>A 37150-2019</t>
        </is>
      </c>
      <c r="B259" s="1" t="n">
        <v>43677</v>
      </c>
      <c r="C259" s="1" t="n">
        <v>45586</v>
      </c>
      <c r="D259" t="inlineStr">
        <is>
          <t>VÄSTRA GÖTALANDS LÄN</t>
        </is>
      </c>
      <c r="E259" t="inlineStr">
        <is>
          <t>SVENLJUNGA</t>
        </is>
      </c>
      <c r="F259" t="inlineStr">
        <is>
          <t>Sveaskog</t>
        </is>
      </c>
      <c r="G259" t="n">
        <v>5.3</v>
      </c>
      <c r="H259" t="n">
        <v>0</v>
      </c>
      <c r="I259" t="n">
        <v>2</v>
      </c>
      <c r="J259" t="n">
        <v>0</v>
      </c>
      <c r="K259" t="n">
        <v>0</v>
      </c>
      <c r="L259" t="n">
        <v>0</v>
      </c>
      <c r="M259" t="n">
        <v>0</v>
      </c>
      <c r="N259" t="n">
        <v>0</v>
      </c>
      <c r="O259" t="n">
        <v>0</v>
      </c>
      <c r="P259" t="n">
        <v>0</v>
      </c>
      <c r="Q259" t="n">
        <v>2</v>
      </c>
      <c r="R259" s="2" t="inlineStr">
        <is>
          <t>Bollvitmossa
Stor revmossa</t>
        </is>
      </c>
      <c r="S259">
        <f>HYPERLINK("https://klasma.github.io/Logging_1465/artfynd/A 37150-2019 artfynd.xlsx", "A 37150-2019")</f>
        <v/>
      </c>
      <c r="T259">
        <f>HYPERLINK("https://klasma.github.io/Logging_1465/kartor/A 37150-2019 karta.png", "A 37150-2019")</f>
        <v/>
      </c>
      <c r="V259">
        <f>HYPERLINK("https://klasma.github.io/Logging_1465/klagomål/A 37150-2019 FSC-klagomål.docx", "A 37150-2019")</f>
        <v/>
      </c>
      <c r="W259">
        <f>HYPERLINK("https://klasma.github.io/Logging_1465/klagomålsmail/A 37150-2019 FSC-klagomål mail.docx", "A 37150-2019")</f>
        <v/>
      </c>
      <c r="X259">
        <f>HYPERLINK("https://klasma.github.io/Logging_1465/tillsyn/A 37150-2019 tillsynsbegäran.docx", "A 37150-2019")</f>
        <v/>
      </c>
      <c r="Y259">
        <f>HYPERLINK("https://klasma.github.io/Logging_1465/tillsynsmail/A 37150-2019 tillsynsbegäran mail.docx", "A 37150-2019")</f>
        <v/>
      </c>
    </row>
    <row r="260" ht="15" customHeight="1">
      <c r="A260" t="inlineStr">
        <is>
          <t>A 38382-2019</t>
        </is>
      </c>
      <c r="B260" s="1" t="n">
        <v>43685</v>
      </c>
      <c r="C260" s="1" t="n">
        <v>45586</v>
      </c>
      <c r="D260" t="inlineStr">
        <is>
          <t>VÄSTRA GÖTALANDS LÄN</t>
        </is>
      </c>
      <c r="E260" t="inlineStr">
        <is>
          <t>ALE</t>
        </is>
      </c>
      <c r="G260" t="n">
        <v>1.3</v>
      </c>
      <c r="H260" t="n">
        <v>2</v>
      </c>
      <c r="I260" t="n">
        <v>0</v>
      </c>
      <c r="J260" t="n">
        <v>1</v>
      </c>
      <c r="K260" t="n">
        <v>0</v>
      </c>
      <c r="L260" t="n">
        <v>0</v>
      </c>
      <c r="M260" t="n">
        <v>0</v>
      </c>
      <c r="N260" t="n">
        <v>0</v>
      </c>
      <c r="O260" t="n">
        <v>1</v>
      </c>
      <c r="P260" t="n">
        <v>0</v>
      </c>
      <c r="Q260" t="n">
        <v>2</v>
      </c>
      <c r="R260" s="2" t="inlineStr">
        <is>
          <t>Spillkråka
Revlummer</t>
        </is>
      </c>
      <c r="S260">
        <f>HYPERLINK("https://klasma.github.io/Logging_1440/artfynd/A 38382-2019 artfynd.xlsx", "A 38382-2019")</f>
        <v/>
      </c>
      <c r="T260">
        <f>HYPERLINK("https://klasma.github.io/Logging_1440/kartor/A 38382-2019 karta.png", "A 38382-2019")</f>
        <v/>
      </c>
      <c r="V260">
        <f>HYPERLINK("https://klasma.github.io/Logging_1440/klagomål/A 38382-2019 FSC-klagomål.docx", "A 38382-2019")</f>
        <v/>
      </c>
      <c r="W260">
        <f>HYPERLINK("https://klasma.github.io/Logging_1440/klagomålsmail/A 38382-2019 FSC-klagomål mail.docx", "A 38382-2019")</f>
        <v/>
      </c>
      <c r="X260">
        <f>HYPERLINK("https://klasma.github.io/Logging_1440/tillsyn/A 38382-2019 tillsynsbegäran.docx", "A 38382-2019")</f>
        <v/>
      </c>
      <c r="Y260">
        <f>HYPERLINK("https://klasma.github.io/Logging_1440/tillsynsmail/A 38382-2019 tillsynsbegäran mail.docx", "A 38382-2019")</f>
        <v/>
      </c>
      <c r="Z260">
        <f>HYPERLINK("https://klasma.github.io/Logging_1440/fåglar/A 38382-2019 prioriterade fågelarter.docx", "A 38382-2019")</f>
        <v/>
      </c>
    </row>
    <row r="261" ht="15" customHeight="1">
      <c r="A261" t="inlineStr">
        <is>
          <t>A 41077-2019</t>
        </is>
      </c>
      <c r="B261" s="1" t="n">
        <v>43695</v>
      </c>
      <c r="C261" s="1" t="n">
        <v>45586</v>
      </c>
      <c r="D261" t="inlineStr">
        <is>
          <t>VÄSTRA GÖTALANDS LÄN</t>
        </is>
      </c>
      <c r="E261" t="inlineStr">
        <is>
          <t>MUNKEDAL</t>
        </is>
      </c>
      <c r="G261" t="n">
        <v>32.2</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HYPERLINK("https://klasma.github.io/Logging_1430/artfynd/A 41077-2019 artfynd.xlsx", "A 41077-2019")</f>
        <v/>
      </c>
      <c r="T261">
        <f>HYPERLINK("https://klasma.github.io/Logging_1430/kartor/A 41077-2019 karta.png", "A 41077-2019")</f>
        <v/>
      </c>
      <c r="V261">
        <f>HYPERLINK("https://klasma.github.io/Logging_1430/klagomål/A 41077-2019 FSC-klagomål.docx", "A 41077-2019")</f>
        <v/>
      </c>
      <c r="W261">
        <f>HYPERLINK("https://klasma.github.io/Logging_1430/klagomålsmail/A 41077-2019 FSC-klagomål mail.docx", "A 41077-2019")</f>
        <v/>
      </c>
      <c r="X261">
        <f>HYPERLINK("https://klasma.github.io/Logging_1430/tillsyn/A 41077-2019 tillsynsbegäran.docx", "A 41077-2019")</f>
        <v/>
      </c>
      <c r="Y261">
        <f>HYPERLINK("https://klasma.github.io/Logging_1430/tillsynsmail/A 41077-2019 tillsynsbegäran mail.docx", "A 41077-2019")</f>
        <v/>
      </c>
      <c r="Z261">
        <f>HYPERLINK("https://klasma.github.io/Logging_1430/fåglar/A 41077-2019 prioriterade fågelarter.docx", "A 41077-2019")</f>
        <v/>
      </c>
    </row>
    <row r="262" ht="15" customHeight="1">
      <c r="A262" t="inlineStr">
        <is>
          <t>A 43855-2019</t>
        </is>
      </c>
      <c r="B262" s="1" t="n">
        <v>43703</v>
      </c>
      <c r="C262" s="1" t="n">
        <v>45586</v>
      </c>
      <c r="D262" t="inlineStr">
        <is>
          <t>VÄSTRA GÖTALANDS LÄN</t>
        </is>
      </c>
      <c r="E262" t="inlineStr">
        <is>
          <t>MELLERUD</t>
        </is>
      </c>
      <c r="F262" t="inlineStr">
        <is>
          <t>Övriga Aktiebolag</t>
        </is>
      </c>
      <c r="G262" t="n">
        <v>1.2</v>
      </c>
      <c r="H262" t="n">
        <v>0</v>
      </c>
      <c r="I262" t="n">
        <v>1</v>
      </c>
      <c r="J262" t="n">
        <v>0</v>
      </c>
      <c r="K262" t="n">
        <v>0</v>
      </c>
      <c r="L262" t="n">
        <v>1</v>
      </c>
      <c r="M262" t="n">
        <v>0</v>
      </c>
      <c r="N262" t="n">
        <v>0</v>
      </c>
      <c r="O262" t="n">
        <v>1</v>
      </c>
      <c r="P262" t="n">
        <v>1</v>
      </c>
      <c r="Q262" t="n">
        <v>2</v>
      </c>
      <c r="R262" s="2" t="inlineStr">
        <is>
          <t>Blylav
Korallblylav</t>
        </is>
      </c>
      <c r="S262">
        <f>HYPERLINK("https://klasma.github.io/Logging_1461/artfynd/A 43855-2019 artfynd.xlsx", "A 43855-2019")</f>
        <v/>
      </c>
      <c r="T262">
        <f>HYPERLINK("https://klasma.github.io/Logging_1461/kartor/A 43855-2019 karta.png", "A 43855-2019")</f>
        <v/>
      </c>
      <c r="V262">
        <f>HYPERLINK("https://klasma.github.io/Logging_1461/klagomål/A 43855-2019 FSC-klagomål.docx", "A 43855-2019")</f>
        <v/>
      </c>
      <c r="W262">
        <f>HYPERLINK("https://klasma.github.io/Logging_1461/klagomålsmail/A 43855-2019 FSC-klagomål mail.docx", "A 43855-2019")</f>
        <v/>
      </c>
      <c r="X262">
        <f>HYPERLINK("https://klasma.github.io/Logging_1461/tillsyn/A 43855-2019 tillsynsbegäran.docx", "A 43855-2019")</f>
        <v/>
      </c>
      <c r="Y262">
        <f>HYPERLINK("https://klasma.github.io/Logging_1461/tillsynsmail/A 43855-2019 tillsynsbegäran mail.docx", "A 43855-2019")</f>
        <v/>
      </c>
    </row>
    <row r="263" ht="15" customHeight="1">
      <c r="A263" t="inlineStr">
        <is>
          <t>A 46759-2019</t>
        </is>
      </c>
      <c r="B263" s="1" t="n">
        <v>43718</v>
      </c>
      <c r="C263" s="1" t="n">
        <v>45586</v>
      </c>
      <c r="D263" t="inlineStr">
        <is>
          <t>VÄSTRA GÖTALANDS LÄN</t>
        </is>
      </c>
      <c r="E263" t="inlineStr">
        <is>
          <t>GULLSPÅNG</t>
        </is>
      </c>
      <c r="G263" t="n">
        <v>11.5</v>
      </c>
      <c r="H263" t="n">
        <v>2</v>
      </c>
      <c r="I263" t="n">
        <v>0</v>
      </c>
      <c r="J263" t="n">
        <v>2</v>
      </c>
      <c r="K263" t="n">
        <v>0</v>
      </c>
      <c r="L263" t="n">
        <v>0</v>
      </c>
      <c r="M263" t="n">
        <v>0</v>
      </c>
      <c r="N263" t="n">
        <v>0</v>
      </c>
      <c r="O263" t="n">
        <v>2</v>
      </c>
      <c r="P263" t="n">
        <v>0</v>
      </c>
      <c r="Q263" t="n">
        <v>2</v>
      </c>
      <c r="R263" s="2" t="inlineStr">
        <is>
          <t>Fransfladdermus
Nordfladdermus</t>
        </is>
      </c>
      <c r="S263">
        <f>HYPERLINK("https://klasma.github.io/Logging_1447/artfynd/A 46759-2019 artfynd.xlsx", "A 46759-2019")</f>
        <v/>
      </c>
      <c r="T263">
        <f>HYPERLINK("https://klasma.github.io/Logging_1447/kartor/A 46759-2019 karta.png", "A 46759-2019")</f>
        <v/>
      </c>
      <c r="V263">
        <f>HYPERLINK("https://klasma.github.io/Logging_1447/klagomål/A 46759-2019 FSC-klagomål.docx", "A 46759-2019")</f>
        <v/>
      </c>
      <c r="W263">
        <f>HYPERLINK("https://klasma.github.io/Logging_1447/klagomålsmail/A 46759-2019 FSC-klagomål mail.docx", "A 46759-2019")</f>
        <v/>
      </c>
      <c r="X263">
        <f>HYPERLINK("https://klasma.github.io/Logging_1447/tillsyn/A 46759-2019 tillsynsbegäran.docx", "A 46759-2019")</f>
        <v/>
      </c>
      <c r="Y263">
        <f>HYPERLINK("https://klasma.github.io/Logging_1447/tillsynsmail/A 46759-2019 tillsynsbegäran mail.docx", "A 46759-2019")</f>
        <v/>
      </c>
    </row>
    <row r="264" ht="15" customHeight="1">
      <c r="A264" t="inlineStr">
        <is>
          <t>A 46463-2019</t>
        </is>
      </c>
      <c r="B264" s="1" t="n">
        <v>43719</v>
      </c>
      <c r="C264" s="1" t="n">
        <v>45586</v>
      </c>
      <c r="D264" t="inlineStr">
        <is>
          <t>VÄSTRA GÖTALANDS LÄN</t>
        </is>
      </c>
      <c r="E264" t="inlineStr">
        <is>
          <t>MÖLNDAL</t>
        </is>
      </c>
      <c r="F264" t="inlineStr">
        <is>
          <t>Kyrkan</t>
        </is>
      </c>
      <c r="G264" t="n">
        <v>6.4</v>
      </c>
      <c r="H264" t="n">
        <v>2</v>
      </c>
      <c r="I264" t="n">
        <v>0</v>
      </c>
      <c r="J264" t="n">
        <v>1</v>
      </c>
      <c r="K264" t="n">
        <v>0</v>
      </c>
      <c r="L264" t="n">
        <v>0</v>
      </c>
      <c r="M264" t="n">
        <v>0</v>
      </c>
      <c r="N264" t="n">
        <v>0</v>
      </c>
      <c r="O264" t="n">
        <v>1</v>
      </c>
      <c r="P264" t="n">
        <v>0</v>
      </c>
      <c r="Q264" t="n">
        <v>2</v>
      </c>
      <c r="R264" s="2" t="inlineStr">
        <is>
          <t>Spillkråka
Kopparödla</t>
        </is>
      </c>
      <c r="S264">
        <f>HYPERLINK("https://klasma.github.io/Logging_1481/artfynd/A 46463-2019 artfynd.xlsx", "A 46463-2019")</f>
        <v/>
      </c>
      <c r="T264">
        <f>HYPERLINK("https://klasma.github.io/Logging_1481/kartor/A 46463-2019 karta.png", "A 46463-2019")</f>
        <v/>
      </c>
      <c r="V264">
        <f>HYPERLINK("https://klasma.github.io/Logging_1481/klagomål/A 46463-2019 FSC-klagomål.docx", "A 46463-2019")</f>
        <v/>
      </c>
      <c r="W264">
        <f>HYPERLINK("https://klasma.github.io/Logging_1481/klagomålsmail/A 46463-2019 FSC-klagomål mail.docx", "A 46463-2019")</f>
        <v/>
      </c>
      <c r="X264">
        <f>HYPERLINK("https://klasma.github.io/Logging_1481/tillsyn/A 46463-2019 tillsynsbegäran.docx", "A 46463-2019")</f>
        <v/>
      </c>
      <c r="Y264">
        <f>HYPERLINK("https://klasma.github.io/Logging_1481/tillsynsmail/A 46463-2019 tillsynsbegäran mail.docx", "A 46463-2019")</f>
        <v/>
      </c>
      <c r="Z264">
        <f>HYPERLINK("https://klasma.github.io/Logging_1481/fåglar/A 46463-2019 prioriterade fågelarter.docx", "A 46463-2019")</f>
        <v/>
      </c>
    </row>
    <row r="265" ht="15" customHeight="1">
      <c r="A265" t="inlineStr">
        <is>
          <t>A 50910-2019</t>
        </is>
      </c>
      <c r="B265" s="1" t="n">
        <v>43738</v>
      </c>
      <c r="C265" s="1" t="n">
        <v>45586</v>
      </c>
      <c r="D265" t="inlineStr">
        <is>
          <t>VÄSTRA GÖTALANDS LÄN</t>
        </is>
      </c>
      <c r="E265" t="inlineStr">
        <is>
          <t>ALINGSÅS</t>
        </is>
      </c>
      <c r="G265" t="n">
        <v>4.7</v>
      </c>
      <c r="H265" t="n">
        <v>0</v>
      </c>
      <c r="I265" t="n">
        <v>2</v>
      </c>
      <c r="J265" t="n">
        <v>0</v>
      </c>
      <c r="K265" t="n">
        <v>0</v>
      </c>
      <c r="L265" t="n">
        <v>0</v>
      </c>
      <c r="M265" t="n">
        <v>0</v>
      </c>
      <c r="N265" t="n">
        <v>0</v>
      </c>
      <c r="O265" t="n">
        <v>0</v>
      </c>
      <c r="P265" t="n">
        <v>0</v>
      </c>
      <c r="Q265" t="n">
        <v>2</v>
      </c>
      <c r="R265" s="2" t="inlineStr">
        <is>
          <t>Guldlockmossa
Lönnlav</t>
        </is>
      </c>
      <c r="S265">
        <f>HYPERLINK("https://klasma.github.io/Logging_1489/artfynd/A 50910-2019 artfynd.xlsx", "A 50910-2019")</f>
        <v/>
      </c>
      <c r="T265">
        <f>HYPERLINK("https://klasma.github.io/Logging_1489/kartor/A 50910-2019 karta.png", "A 50910-2019")</f>
        <v/>
      </c>
      <c r="V265">
        <f>HYPERLINK("https://klasma.github.io/Logging_1489/klagomål/A 50910-2019 FSC-klagomål.docx", "A 50910-2019")</f>
        <v/>
      </c>
      <c r="W265">
        <f>HYPERLINK("https://klasma.github.io/Logging_1489/klagomålsmail/A 50910-2019 FSC-klagomål mail.docx", "A 50910-2019")</f>
        <v/>
      </c>
      <c r="X265">
        <f>HYPERLINK("https://klasma.github.io/Logging_1489/tillsyn/A 50910-2019 tillsynsbegäran.docx", "A 50910-2019")</f>
        <v/>
      </c>
      <c r="Y265">
        <f>HYPERLINK("https://klasma.github.io/Logging_1489/tillsynsmail/A 50910-2019 tillsynsbegäran mail.docx", "A 50910-2019")</f>
        <v/>
      </c>
    </row>
    <row r="266" ht="15" customHeight="1">
      <c r="A266" t="inlineStr">
        <is>
          <t>A 58206-2019</t>
        </is>
      </c>
      <c r="B266" s="1" t="n">
        <v>43770</v>
      </c>
      <c r="C266" s="1" t="n">
        <v>45586</v>
      </c>
      <c r="D266" t="inlineStr">
        <is>
          <t>VÄSTRA GÖTALANDS LÄN</t>
        </is>
      </c>
      <c r="E266" t="inlineStr">
        <is>
          <t>ALINGSÅS</t>
        </is>
      </c>
      <c r="G266" t="n">
        <v>1.2</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HYPERLINK("https://klasma.github.io/Logging_1489/artfynd/A 58206-2019 artfynd.xlsx", "A 58206-2019")</f>
        <v/>
      </c>
      <c r="T266">
        <f>HYPERLINK("https://klasma.github.io/Logging_1489/kartor/A 58206-2019 karta.png", "A 58206-2019")</f>
        <v/>
      </c>
      <c r="V266">
        <f>HYPERLINK("https://klasma.github.io/Logging_1489/klagomål/A 58206-2019 FSC-klagomål.docx", "A 58206-2019")</f>
        <v/>
      </c>
      <c r="W266">
        <f>HYPERLINK("https://klasma.github.io/Logging_1489/klagomålsmail/A 58206-2019 FSC-klagomål mail.docx", "A 58206-2019")</f>
        <v/>
      </c>
      <c r="X266">
        <f>HYPERLINK("https://klasma.github.io/Logging_1489/tillsyn/A 58206-2019 tillsynsbegäran.docx", "A 58206-2019")</f>
        <v/>
      </c>
      <c r="Y266">
        <f>HYPERLINK("https://klasma.github.io/Logging_1489/tillsynsmail/A 58206-2019 tillsynsbegäran mail.docx", "A 58206-2019")</f>
        <v/>
      </c>
    </row>
    <row r="267" ht="15" customHeight="1">
      <c r="A267" t="inlineStr">
        <is>
          <t>A 61052-2019</t>
        </is>
      </c>
      <c r="B267" s="1" t="n">
        <v>43782</v>
      </c>
      <c r="C267" s="1" t="n">
        <v>45586</v>
      </c>
      <c r="D267" t="inlineStr">
        <is>
          <t>VÄSTRA GÖTALANDS LÄN</t>
        </is>
      </c>
      <c r="E267" t="inlineStr">
        <is>
          <t>BORÅS</t>
        </is>
      </c>
      <c r="G267" t="n">
        <v>18.5</v>
      </c>
      <c r="H267" t="n">
        <v>1</v>
      </c>
      <c r="I267" t="n">
        <v>1</v>
      </c>
      <c r="J267" t="n">
        <v>0</v>
      </c>
      <c r="K267" t="n">
        <v>0</v>
      </c>
      <c r="L267" t="n">
        <v>0</v>
      </c>
      <c r="M267" t="n">
        <v>0</v>
      </c>
      <c r="N267" t="n">
        <v>0</v>
      </c>
      <c r="O267" t="n">
        <v>0</v>
      </c>
      <c r="P267" t="n">
        <v>0</v>
      </c>
      <c r="Q267" t="n">
        <v>2</v>
      </c>
      <c r="R267" s="2" t="inlineStr">
        <is>
          <t>Grönpyrola
Lopplummer</t>
        </is>
      </c>
      <c r="S267">
        <f>HYPERLINK("https://klasma.github.io/Logging_1490/artfynd/A 61052-2019 artfynd.xlsx", "A 61052-2019")</f>
        <v/>
      </c>
      <c r="T267">
        <f>HYPERLINK("https://klasma.github.io/Logging_1490/kartor/A 61052-2019 karta.png", "A 61052-2019")</f>
        <v/>
      </c>
      <c r="V267">
        <f>HYPERLINK("https://klasma.github.io/Logging_1490/klagomål/A 61052-2019 FSC-klagomål.docx", "A 61052-2019")</f>
        <v/>
      </c>
      <c r="W267">
        <f>HYPERLINK("https://klasma.github.io/Logging_1490/klagomålsmail/A 61052-2019 FSC-klagomål mail.docx", "A 61052-2019")</f>
        <v/>
      </c>
      <c r="X267">
        <f>HYPERLINK("https://klasma.github.io/Logging_1490/tillsyn/A 61052-2019 tillsynsbegäran.docx", "A 61052-2019")</f>
        <v/>
      </c>
      <c r="Y267">
        <f>HYPERLINK("https://klasma.github.io/Logging_1490/tillsynsmail/A 61052-2019 tillsynsbegäran mail.docx", "A 61052-2019")</f>
        <v/>
      </c>
    </row>
    <row r="268" ht="15" customHeight="1">
      <c r="A268" t="inlineStr">
        <is>
          <t>A 65336-2019</t>
        </is>
      </c>
      <c r="B268" s="1" t="n">
        <v>43802</v>
      </c>
      <c r="C268" s="1" t="n">
        <v>45586</v>
      </c>
      <c r="D268" t="inlineStr">
        <is>
          <t>VÄSTRA GÖTALANDS LÄN</t>
        </is>
      </c>
      <c r="E268" t="inlineStr">
        <is>
          <t>ULRICEHAMN</t>
        </is>
      </c>
      <c r="G268" t="n">
        <v>9</v>
      </c>
      <c r="H268" t="n">
        <v>0</v>
      </c>
      <c r="I268" t="n">
        <v>0</v>
      </c>
      <c r="J268" t="n">
        <v>2</v>
      </c>
      <c r="K268" t="n">
        <v>0</v>
      </c>
      <c r="L268" t="n">
        <v>0</v>
      </c>
      <c r="M268" t="n">
        <v>0</v>
      </c>
      <c r="N268" t="n">
        <v>0</v>
      </c>
      <c r="O268" t="n">
        <v>2</v>
      </c>
      <c r="P268" t="n">
        <v>0</v>
      </c>
      <c r="Q268" t="n">
        <v>2</v>
      </c>
      <c r="R268" s="2" t="inlineStr">
        <is>
          <t>Mindre blåvinge
Vickerglasvinge</t>
        </is>
      </c>
      <c r="S268">
        <f>HYPERLINK("https://klasma.github.io/Logging_1491/artfynd/A 65336-2019 artfynd.xlsx", "A 65336-2019")</f>
        <v/>
      </c>
      <c r="T268">
        <f>HYPERLINK("https://klasma.github.io/Logging_1491/kartor/A 65336-2019 karta.png", "A 65336-2019")</f>
        <v/>
      </c>
      <c r="V268">
        <f>HYPERLINK("https://klasma.github.io/Logging_1491/klagomål/A 65336-2019 FSC-klagomål.docx", "A 65336-2019")</f>
        <v/>
      </c>
      <c r="W268">
        <f>HYPERLINK("https://klasma.github.io/Logging_1491/klagomålsmail/A 65336-2019 FSC-klagomål mail.docx", "A 65336-2019")</f>
        <v/>
      </c>
      <c r="X268">
        <f>HYPERLINK("https://klasma.github.io/Logging_1491/tillsyn/A 65336-2019 tillsynsbegäran.docx", "A 65336-2019")</f>
        <v/>
      </c>
      <c r="Y268">
        <f>HYPERLINK("https://klasma.github.io/Logging_1491/tillsynsmail/A 65336-2019 tillsynsbegäran mail.docx", "A 65336-2019")</f>
        <v/>
      </c>
    </row>
    <row r="269" ht="15" customHeight="1">
      <c r="A269" t="inlineStr">
        <is>
          <t>A 68747-2019</t>
        </is>
      </c>
      <c r="B269" s="1" t="n">
        <v>43819</v>
      </c>
      <c r="C269" s="1" t="n">
        <v>45586</v>
      </c>
      <c r="D269" t="inlineStr">
        <is>
          <t>VÄSTRA GÖTALANDS LÄN</t>
        </is>
      </c>
      <c r="E269" t="inlineStr">
        <is>
          <t>MARK</t>
        </is>
      </c>
      <c r="G269" t="n">
        <v>7.3</v>
      </c>
      <c r="H269" t="n">
        <v>2</v>
      </c>
      <c r="I269" t="n">
        <v>0</v>
      </c>
      <c r="J269" t="n">
        <v>0</v>
      </c>
      <c r="K269" t="n">
        <v>1</v>
      </c>
      <c r="L269" t="n">
        <v>0</v>
      </c>
      <c r="M269" t="n">
        <v>0</v>
      </c>
      <c r="N269" t="n">
        <v>0</v>
      </c>
      <c r="O269" t="n">
        <v>1</v>
      </c>
      <c r="P269" t="n">
        <v>1</v>
      </c>
      <c r="Q269" t="n">
        <v>2</v>
      </c>
      <c r="R269" s="2" t="inlineStr">
        <is>
          <t>Kricka
Trana</t>
        </is>
      </c>
      <c r="S269">
        <f>HYPERLINK("https://klasma.github.io/Logging_1463/artfynd/A 68747-2019 artfynd.xlsx", "A 68747-2019")</f>
        <v/>
      </c>
      <c r="T269">
        <f>HYPERLINK("https://klasma.github.io/Logging_1463/kartor/A 68747-2019 karta.png", "A 68747-2019")</f>
        <v/>
      </c>
      <c r="V269">
        <f>HYPERLINK("https://klasma.github.io/Logging_1463/klagomål/A 68747-2019 FSC-klagomål.docx", "A 68747-2019")</f>
        <v/>
      </c>
      <c r="W269">
        <f>HYPERLINK("https://klasma.github.io/Logging_1463/klagomålsmail/A 68747-2019 FSC-klagomål mail.docx", "A 68747-2019")</f>
        <v/>
      </c>
      <c r="X269">
        <f>HYPERLINK("https://klasma.github.io/Logging_1463/tillsyn/A 68747-2019 tillsynsbegäran.docx", "A 68747-2019")</f>
        <v/>
      </c>
      <c r="Y269">
        <f>HYPERLINK("https://klasma.github.io/Logging_1463/tillsynsmail/A 68747-2019 tillsynsbegäran mail.docx", "A 68747-2019")</f>
        <v/>
      </c>
      <c r="Z269">
        <f>HYPERLINK("https://klasma.github.io/Logging_1463/fåglar/A 68747-2019 prioriterade fågelarter.docx", "A 68747-2019")</f>
        <v/>
      </c>
    </row>
    <row r="270" ht="15" customHeight="1">
      <c r="A270" t="inlineStr">
        <is>
          <t>A 1486-2020</t>
        </is>
      </c>
      <c r="B270" s="1" t="n">
        <v>43843</v>
      </c>
      <c r="C270" s="1" t="n">
        <v>45586</v>
      </c>
      <c r="D270" t="inlineStr">
        <is>
          <t>VÄSTRA GÖTALANDS LÄN</t>
        </is>
      </c>
      <c r="E270" t="inlineStr">
        <is>
          <t>GÖTENE</t>
        </is>
      </c>
      <c r="G270" t="n">
        <v>9.4</v>
      </c>
      <c r="H270" t="n">
        <v>0</v>
      </c>
      <c r="I270" t="n">
        <v>0</v>
      </c>
      <c r="J270" t="n">
        <v>1</v>
      </c>
      <c r="K270" t="n">
        <v>1</v>
      </c>
      <c r="L270" t="n">
        <v>0</v>
      </c>
      <c r="M270" t="n">
        <v>0</v>
      </c>
      <c r="N270" t="n">
        <v>0</v>
      </c>
      <c r="O270" t="n">
        <v>2</v>
      </c>
      <c r="P270" t="n">
        <v>1</v>
      </c>
      <c r="Q270" t="n">
        <v>2</v>
      </c>
      <c r="R270" s="2" t="inlineStr">
        <is>
          <t>Gulbrämad flugsvamp
Vippärt</t>
        </is>
      </c>
      <c r="S270">
        <f>HYPERLINK("https://klasma.github.io/Logging_1471/artfynd/A 1486-2020 artfynd.xlsx", "A 1486-2020")</f>
        <v/>
      </c>
      <c r="T270">
        <f>HYPERLINK("https://klasma.github.io/Logging_1471/kartor/A 1486-2020 karta.png", "A 1486-2020")</f>
        <v/>
      </c>
      <c r="V270">
        <f>HYPERLINK("https://klasma.github.io/Logging_1471/klagomål/A 1486-2020 FSC-klagomål.docx", "A 1486-2020")</f>
        <v/>
      </c>
      <c r="W270">
        <f>HYPERLINK("https://klasma.github.io/Logging_1471/klagomålsmail/A 1486-2020 FSC-klagomål mail.docx", "A 1486-2020")</f>
        <v/>
      </c>
      <c r="X270">
        <f>HYPERLINK("https://klasma.github.io/Logging_1471/tillsyn/A 1486-2020 tillsynsbegäran.docx", "A 1486-2020")</f>
        <v/>
      </c>
      <c r="Y270">
        <f>HYPERLINK("https://klasma.github.io/Logging_1471/tillsynsmail/A 1486-2020 tillsynsbegäran mail.docx", "A 1486-2020")</f>
        <v/>
      </c>
    </row>
    <row r="271" ht="15" customHeight="1">
      <c r="A271" t="inlineStr">
        <is>
          <t>A 2233-2020</t>
        </is>
      </c>
      <c r="B271" s="1" t="n">
        <v>43846</v>
      </c>
      <c r="C271" s="1" t="n">
        <v>45586</v>
      </c>
      <c r="D271" t="inlineStr">
        <is>
          <t>VÄSTRA GÖTALANDS LÄN</t>
        </is>
      </c>
      <c r="E271" t="inlineStr">
        <is>
          <t>TJÖRN</t>
        </is>
      </c>
      <c r="G271" t="n">
        <v>2.3</v>
      </c>
      <c r="H271" t="n">
        <v>0</v>
      </c>
      <c r="I271" t="n">
        <v>2</v>
      </c>
      <c r="J271" t="n">
        <v>0</v>
      </c>
      <c r="K271" t="n">
        <v>0</v>
      </c>
      <c r="L271" t="n">
        <v>0</v>
      </c>
      <c r="M271" t="n">
        <v>0</v>
      </c>
      <c r="N271" t="n">
        <v>0</v>
      </c>
      <c r="O271" t="n">
        <v>0</v>
      </c>
      <c r="P271" t="n">
        <v>0</v>
      </c>
      <c r="Q271" t="n">
        <v>2</v>
      </c>
      <c r="R271" s="2" t="inlineStr">
        <is>
          <t>Klippfrullania
Rostfläck</t>
        </is>
      </c>
      <c r="S271">
        <f>HYPERLINK("https://klasma.github.io/Logging_1419/artfynd/A 2233-2020 artfynd.xlsx", "A 2233-2020")</f>
        <v/>
      </c>
      <c r="T271">
        <f>HYPERLINK("https://klasma.github.io/Logging_1419/kartor/A 2233-2020 karta.png", "A 2233-2020")</f>
        <v/>
      </c>
      <c r="V271">
        <f>HYPERLINK("https://klasma.github.io/Logging_1419/klagomål/A 2233-2020 FSC-klagomål.docx", "A 2233-2020")</f>
        <v/>
      </c>
      <c r="W271">
        <f>HYPERLINK("https://klasma.github.io/Logging_1419/klagomålsmail/A 2233-2020 FSC-klagomål mail.docx", "A 2233-2020")</f>
        <v/>
      </c>
      <c r="X271">
        <f>HYPERLINK("https://klasma.github.io/Logging_1419/tillsyn/A 2233-2020 tillsynsbegäran.docx", "A 2233-2020")</f>
        <v/>
      </c>
      <c r="Y271">
        <f>HYPERLINK("https://klasma.github.io/Logging_1419/tillsynsmail/A 2233-2020 tillsynsbegäran mail.docx", "A 2233-2020")</f>
        <v/>
      </c>
    </row>
    <row r="272" ht="15" customHeight="1">
      <c r="A272" t="inlineStr">
        <is>
          <t>A 7169-2020</t>
        </is>
      </c>
      <c r="B272" s="1" t="n">
        <v>43870</v>
      </c>
      <c r="C272" s="1" t="n">
        <v>45586</v>
      </c>
      <c r="D272" t="inlineStr">
        <is>
          <t>VÄSTRA GÖTALANDS LÄN</t>
        </is>
      </c>
      <c r="E272" t="inlineStr">
        <is>
          <t>ORUST</t>
        </is>
      </c>
      <c r="G272" t="n">
        <v>9.1</v>
      </c>
      <c r="H272" t="n">
        <v>0</v>
      </c>
      <c r="I272" t="n">
        <v>1</v>
      </c>
      <c r="J272" t="n">
        <v>1</v>
      </c>
      <c r="K272" t="n">
        <v>0</v>
      </c>
      <c r="L272" t="n">
        <v>0</v>
      </c>
      <c r="M272" t="n">
        <v>0</v>
      </c>
      <c r="N272" t="n">
        <v>0</v>
      </c>
      <c r="O272" t="n">
        <v>1</v>
      </c>
      <c r="P272" t="n">
        <v>0</v>
      </c>
      <c r="Q272" t="n">
        <v>2</v>
      </c>
      <c r="R272" s="2" t="inlineStr">
        <is>
          <t>Grönhjon
Vågbandad barkbock</t>
        </is>
      </c>
      <c r="S272">
        <f>HYPERLINK("https://klasma.github.io/Logging_1421/artfynd/A 7169-2020 artfynd.xlsx", "A 7169-2020")</f>
        <v/>
      </c>
      <c r="T272">
        <f>HYPERLINK("https://klasma.github.io/Logging_1421/kartor/A 7169-2020 karta.png", "A 7169-2020")</f>
        <v/>
      </c>
      <c r="U272">
        <f>HYPERLINK("https://klasma.github.io/Logging_1421/knärot/A 7169-2020 karta knärot.png", "A 7169-2020")</f>
        <v/>
      </c>
      <c r="V272">
        <f>HYPERLINK("https://klasma.github.io/Logging_1421/klagomål/A 7169-2020 FSC-klagomål.docx", "A 7169-2020")</f>
        <v/>
      </c>
      <c r="W272">
        <f>HYPERLINK("https://klasma.github.io/Logging_1421/klagomålsmail/A 7169-2020 FSC-klagomål mail.docx", "A 7169-2020")</f>
        <v/>
      </c>
      <c r="X272">
        <f>HYPERLINK("https://klasma.github.io/Logging_1421/tillsyn/A 7169-2020 tillsynsbegäran.docx", "A 7169-2020")</f>
        <v/>
      </c>
      <c r="Y272">
        <f>HYPERLINK("https://klasma.github.io/Logging_1421/tillsynsmail/A 7169-2020 tillsynsbegäran mail.docx", "A 7169-2020")</f>
        <v/>
      </c>
    </row>
    <row r="273" ht="15" customHeight="1">
      <c r="A273" t="inlineStr">
        <is>
          <t>A 9953-2020</t>
        </is>
      </c>
      <c r="B273" s="1" t="n">
        <v>43882</v>
      </c>
      <c r="C273" s="1" t="n">
        <v>45586</v>
      </c>
      <c r="D273" t="inlineStr">
        <is>
          <t>VÄSTRA GÖTALANDS LÄN</t>
        </is>
      </c>
      <c r="E273" t="inlineStr">
        <is>
          <t>TANUM</t>
        </is>
      </c>
      <c r="G273" t="n">
        <v>25.5</v>
      </c>
      <c r="H273" t="n">
        <v>2</v>
      </c>
      <c r="I273" t="n">
        <v>0</v>
      </c>
      <c r="J273" t="n">
        <v>0</v>
      </c>
      <c r="K273" t="n">
        <v>0</v>
      </c>
      <c r="L273" t="n">
        <v>0</v>
      </c>
      <c r="M273" t="n">
        <v>0</v>
      </c>
      <c r="N273" t="n">
        <v>0</v>
      </c>
      <c r="O273" t="n">
        <v>0</v>
      </c>
      <c r="P273" t="n">
        <v>0</v>
      </c>
      <c r="Q273" t="n">
        <v>2</v>
      </c>
      <c r="R273" s="2" t="inlineStr">
        <is>
          <t>Blåsippa
Revlummer</t>
        </is>
      </c>
      <c r="S273">
        <f>HYPERLINK("https://klasma.github.io/Logging_1435/artfynd/A 9953-2020 artfynd.xlsx", "A 9953-2020")</f>
        <v/>
      </c>
      <c r="T273">
        <f>HYPERLINK("https://klasma.github.io/Logging_1435/kartor/A 9953-2020 karta.png", "A 9953-2020")</f>
        <v/>
      </c>
      <c r="V273">
        <f>HYPERLINK("https://klasma.github.io/Logging_1435/klagomål/A 9953-2020 FSC-klagomål.docx", "A 9953-2020")</f>
        <v/>
      </c>
      <c r="W273">
        <f>HYPERLINK("https://klasma.github.io/Logging_1435/klagomålsmail/A 9953-2020 FSC-klagomål mail.docx", "A 9953-2020")</f>
        <v/>
      </c>
      <c r="X273">
        <f>HYPERLINK("https://klasma.github.io/Logging_1435/tillsyn/A 9953-2020 tillsynsbegäran.docx", "A 9953-2020")</f>
        <v/>
      </c>
      <c r="Y273">
        <f>HYPERLINK("https://klasma.github.io/Logging_1435/tillsynsmail/A 9953-2020 tillsynsbegäran mail.docx", "A 9953-2020")</f>
        <v/>
      </c>
    </row>
    <row r="274" ht="15" customHeight="1">
      <c r="A274" t="inlineStr">
        <is>
          <t>A 12972-2020</t>
        </is>
      </c>
      <c r="B274" s="1" t="n">
        <v>43900</v>
      </c>
      <c r="C274" s="1" t="n">
        <v>45586</v>
      </c>
      <c r="D274" t="inlineStr">
        <is>
          <t>VÄSTRA GÖTALANDS LÄN</t>
        </is>
      </c>
      <c r="E274" t="inlineStr">
        <is>
          <t>LILLA EDET</t>
        </is>
      </c>
      <c r="G274" t="n">
        <v>31.3</v>
      </c>
      <c r="H274" t="n">
        <v>0</v>
      </c>
      <c r="I274" t="n">
        <v>2</v>
      </c>
      <c r="J274" t="n">
        <v>0</v>
      </c>
      <c r="K274" t="n">
        <v>0</v>
      </c>
      <c r="L274" t="n">
        <v>0</v>
      </c>
      <c r="M274" t="n">
        <v>0</v>
      </c>
      <c r="N274" t="n">
        <v>0</v>
      </c>
      <c r="O274" t="n">
        <v>0</v>
      </c>
      <c r="P274" t="n">
        <v>0</v>
      </c>
      <c r="Q274" t="n">
        <v>2</v>
      </c>
      <c r="R274" s="2" t="inlineStr">
        <is>
          <t>Klippfrullania
Platt fjädermossa</t>
        </is>
      </c>
      <c r="S274">
        <f>HYPERLINK("https://klasma.github.io/Logging_1462/artfynd/A 12972-2020 artfynd.xlsx", "A 12972-2020")</f>
        <v/>
      </c>
      <c r="T274">
        <f>HYPERLINK("https://klasma.github.io/Logging_1462/kartor/A 12972-2020 karta.png", "A 12972-2020")</f>
        <v/>
      </c>
      <c r="V274">
        <f>HYPERLINK("https://klasma.github.io/Logging_1462/klagomål/A 12972-2020 FSC-klagomål.docx", "A 12972-2020")</f>
        <v/>
      </c>
      <c r="W274">
        <f>HYPERLINK("https://klasma.github.io/Logging_1462/klagomålsmail/A 12972-2020 FSC-klagomål mail.docx", "A 12972-2020")</f>
        <v/>
      </c>
      <c r="X274">
        <f>HYPERLINK("https://klasma.github.io/Logging_1462/tillsyn/A 12972-2020 tillsynsbegäran.docx", "A 12972-2020")</f>
        <v/>
      </c>
      <c r="Y274">
        <f>HYPERLINK("https://klasma.github.io/Logging_1462/tillsynsmail/A 12972-2020 tillsynsbegäran mail.docx", "A 12972-2020")</f>
        <v/>
      </c>
    </row>
    <row r="275" ht="15" customHeight="1">
      <c r="A275" t="inlineStr">
        <is>
          <t>A 15284-2020</t>
        </is>
      </c>
      <c r="B275" s="1" t="n">
        <v>43908</v>
      </c>
      <c r="C275" s="1" t="n">
        <v>45586</v>
      </c>
      <c r="D275" t="inlineStr">
        <is>
          <t>VÄSTRA GÖTALANDS LÄN</t>
        </is>
      </c>
      <c r="E275" t="inlineStr">
        <is>
          <t>LIDKÖPING</t>
        </is>
      </c>
      <c r="F275" t="inlineStr">
        <is>
          <t>Kommuner</t>
        </is>
      </c>
      <c r="G275" t="n">
        <v>4.7</v>
      </c>
      <c r="H275" t="n">
        <v>2</v>
      </c>
      <c r="I275" t="n">
        <v>0</v>
      </c>
      <c r="J275" t="n">
        <v>0</v>
      </c>
      <c r="K275" t="n">
        <v>1</v>
      </c>
      <c r="L275" t="n">
        <v>0</v>
      </c>
      <c r="M275" t="n">
        <v>0</v>
      </c>
      <c r="N275" t="n">
        <v>0</v>
      </c>
      <c r="O275" t="n">
        <v>1</v>
      </c>
      <c r="P275" t="n">
        <v>1</v>
      </c>
      <c r="Q275" t="n">
        <v>2</v>
      </c>
      <c r="R275" s="2" t="inlineStr">
        <is>
          <t>Knärot
Revlummer</t>
        </is>
      </c>
      <c r="S275">
        <f>HYPERLINK("https://klasma.github.io/Logging_1494/artfynd/A 15284-2020 artfynd.xlsx", "A 15284-2020")</f>
        <v/>
      </c>
      <c r="T275">
        <f>HYPERLINK("https://klasma.github.io/Logging_1494/kartor/A 15284-2020 karta.png", "A 15284-2020")</f>
        <v/>
      </c>
      <c r="U275">
        <f>HYPERLINK("https://klasma.github.io/Logging_1494/knärot/A 15284-2020 karta knärot.png", "A 15284-2020")</f>
        <v/>
      </c>
      <c r="V275">
        <f>HYPERLINK("https://klasma.github.io/Logging_1494/klagomål/A 15284-2020 FSC-klagomål.docx", "A 15284-2020")</f>
        <v/>
      </c>
      <c r="W275">
        <f>HYPERLINK("https://klasma.github.io/Logging_1494/klagomålsmail/A 15284-2020 FSC-klagomål mail.docx", "A 15284-2020")</f>
        <v/>
      </c>
      <c r="X275">
        <f>HYPERLINK("https://klasma.github.io/Logging_1494/tillsyn/A 15284-2020 tillsynsbegäran.docx", "A 15284-2020")</f>
        <v/>
      </c>
      <c r="Y275">
        <f>HYPERLINK("https://klasma.github.io/Logging_1494/tillsynsmail/A 15284-2020 tillsynsbegäran mail.docx", "A 15284-2020")</f>
        <v/>
      </c>
    </row>
    <row r="276" ht="15" customHeight="1">
      <c r="A276" t="inlineStr">
        <is>
          <t>A 14675-2020</t>
        </is>
      </c>
      <c r="B276" s="1" t="n">
        <v>43909</v>
      </c>
      <c r="C276" s="1" t="n">
        <v>45586</v>
      </c>
      <c r="D276" t="inlineStr">
        <is>
          <t>VÄSTRA GÖTALANDS LÄN</t>
        </is>
      </c>
      <c r="E276" t="inlineStr">
        <is>
          <t>BORÅS</t>
        </is>
      </c>
      <c r="G276" t="n">
        <v>1.4</v>
      </c>
      <c r="H276" t="n">
        <v>0</v>
      </c>
      <c r="I276" t="n">
        <v>2</v>
      </c>
      <c r="J276" t="n">
        <v>0</v>
      </c>
      <c r="K276" t="n">
        <v>0</v>
      </c>
      <c r="L276" t="n">
        <v>0</v>
      </c>
      <c r="M276" t="n">
        <v>0</v>
      </c>
      <c r="N276" t="n">
        <v>0</v>
      </c>
      <c r="O276" t="n">
        <v>0</v>
      </c>
      <c r="P276" t="n">
        <v>0</v>
      </c>
      <c r="Q276" t="n">
        <v>2</v>
      </c>
      <c r="R276" s="2" t="inlineStr">
        <is>
          <t>Blodvaxskivling
Spröd vaxskivling</t>
        </is>
      </c>
      <c r="S276">
        <f>HYPERLINK("https://klasma.github.io/Logging_1490/artfynd/A 14675-2020 artfynd.xlsx", "A 14675-2020")</f>
        <v/>
      </c>
      <c r="T276">
        <f>HYPERLINK("https://klasma.github.io/Logging_1490/kartor/A 14675-2020 karta.png", "A 14675-2020")</f>
        <v/>
      </c>
      <c r="V276">
        <f>HYPERLINK("https://klasma.github.io/Logging_1490/klagomål/A 14675-2020 FSC-klagomål.docx", "A 14675-2020")</f>
        <v/>
      </c>
      <c r="W276">
        <f>HYPERLINK("https://klasma.github.io/Logging_1490/klagomålsmail/A 14675-2020 FSC-klagomål mail.docx", "A 14675-2020")</f>
        <v/>
      </c>
      <c r="X276">
        <f>HYPERLINK("https://klasma.github.io/Logging_1490/tillsyn/A 14675-2020 tillsynsbegäran.docx", "A 14675-2020")</f>
        <v/>
      </c>
      <c r="Y276">
        <f>HYPERLINK("https://klasma.github.io/Logging_1490/tillsynsmail/A 14675-2020 tillsynsbegäran mail.docx", "A 14675-2020")</f>
        <v/>
      </c>
    </row>
    <row r="277" ht="15" customHeight="1">
      <c r="A277" t="inlineStr">
        <is>
          <t>A 19775-2020</t>
        </is>
      </c>
      <c r="B277" s="1" t="n">
        <v>43942</v>
      </c>
      <c r="C277" s="1" t="n">
        <v>45586</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Lundbräsma
Sårläka</t>
        </is>
      </c>
      <c r="S277">
        <f>HYPERLINK("https://klasma.github.io/Logging_1496/artfynd/A 19775-2020 artfynd.xlsx", "A 19775-2020")</f>
        <v/>
      </c>
      <c r="T277">
        <f>HYPERLINK("https://klasma.github.io/Logging_1496/kartor/A 19775-2020 karta.png", "A 19775-2020")</f>
        <v/>
      </c>
      <c r="V277">
        <f>HYPERLINK("https://klasma.github.io/Logging_1496/klagomål/A 19775-2020 FSC-klagomål.docx", "A 19775-2020")</f>
        <v/>
      </c>
      <c r="W277">
        <f>HYPERLINK("https://klasma.github.io/Logging_1496/klagomålsmail/A 19775-2020 FSC-klagomål mail.docx", "A 19775-2020")</f>
        <v/>
      </c>
      <c r="X277">
        <f>HYPERLINK("https://klasma.github.io/Logging_1496/tillsyn/A 19775-2020 tillsynsbegäran.docx", "A 19775-2020")</f>
        <v/>
      </c>
      <c r="Y277">
        <f>HYPERLINK("https://klasma.github.io/Logging_1496/tillsynsmail/A 19775-2020 tillsynsbegäran mail.docx", "A 19775-2020")</f>
        <v/>
      </c>
    </row>
    <row r="278" ht="15" customHeight="1">
      <c r="A278" t="inlineStr">
        <is>
          <t>A 23847-2020</t>
        </is>
      </c>
      <c r="B278" s="1" t="n">
        <v>43970</v>
      </c>
      <c r="C278" s="1" t="n">
        <v>45586</v>
      </c>
      <c r="D278" t="inlineStr">
        <is>
          <t>VÄSTRA GÖTALANDS LÄN</t>
        </is>
      </c>
      <c r="E278" t="inlineStr">
        <is>
          <t>BENGTSFORS</t>
        </is>
      </c>
      <c r="G278" t="n">
        <v>4</v>
      </c>
      <c r="H278" t="n">
        <v>0</v>
      </c>
      <c r="I278" t="n">
        <v>0</v>
      </c>
      <c r="J278" t="n">
        <v>1</v>
      </c>
      <c r="K278" t="n">
        <v>0</v>
      </c>
      <c r="L278" t="n">
        <v>1</v>
      </c>
      <c r="M278" t="n">
        <v>0</v>
      </c>
      <c r="N278" t="n">
        <v>0</v>
      </c>
      <c r="O278" t="n">
        <v>2</v>
      </c>
      <c r="P278" t="n">
        <v>1</v>
      </c>
      <c r="Q278" t="n">
        <v>2</v>
      </c>
      <c r="R278" s="2" t="inlineStr">
        <is>
          <t>Raggtaggsvamp
Tallticka</t>
        </is>
      </c>
      <c r="S278">
        <f>HYPERLINK("https://klasma.github.io/Logging_1460/artfynd/A 23847-2020 artfynd.xlsx", "A 23847-2020")</f>
        <v/>
      </c>
      <c r="T278">
        <f>HYPERLINK("https://klasma.github.io/Logging_1460/kartor/A 23847-2020 karta.png", "A 23847-2020")</f>
        <v/>
      </c>
      <c r="V278">
        <f>HYPERLINK("https://klasma.github.io/Logging_1460/klagomål/A 23847-2020 FSC-klagomål.docx", "A 23847-2020")</f>
        <v/>
      </c>
      <c r="W278">
        <f>HYPERLINK("https://klasma.github.io/Logging_1460/klagomålsmail/A 23847-2020 FSC-klagomål mail.docx", "A 23847-2020")</f>
        <v/>
      </c>
      <c r="X278">
        <f>HYPERLINK("https://klasma.github.io/Logging_1460/tillsyn/A 23847-2020 tillsynsbegäran.docx", "A 23847-2020")</f>
        <v/>
      </c>
      <c r="Y278">
        <f>HYPERLINK("https://klasma.github.io/Logging_1460/tillsynsmail/A 23847-2020 tillsynsbegäran mail.docx", "A 23847-2020")</f>
        <v/>
      </c>
    </row>
    <row r="279" ht="15" customHeight="1">
      <c r="A279" t="inlineStr">
        <is>
          <t>A 27439-2020</t>
        </is>
      </c>
      <c r="B279" s="1" t="n">
        <v>43993</v>
      </c>
      <c r="C279" s="1" t="n">
        <v>45586</v>
      </c>
      <c r="D279" t="inlineStr">
        <is>
          <t>VÄSTRA GÖTALANDS LÄN</t>
        </is>
      </c>
      <c r="E279" t="inlineStr">
        <is>
          <t>GÖTENE</t>
        </is>
      </c>
      <c r="F279" t="inlineStr">
        <is>
          <t>Kyrkan</t>
        </is>
      </c>
      <c r="G279" t="n">
        <v>1</v>
      </c>
      <c r="H279" t="n">
        <v>1</v>
      </c>
      <c r="I279" t="n">
        <v>2</v>
      </c>
      <c r="J279" t="n">
        <v>0</v>
      </c>
      <c r="K279" t="n">
        <v>0</v>
      </c>
      <c r="L279" t="n">
        <v>0</v>
      </c>
      <c r="M279" t="n">
        <v>0</v>
      </c>
      <c r="N279" t="n">
        <v>0</v>
      </c>
      <c r="O279" t="n">
        <v>0</v>
      </c>
      <c r="P279" t="n">
        <v>0</v>
      </c>
      <c r="Q279" t="n">
        <v>2</v>
      </c>
      <c r="R279" s="2" t="inlineStr">
        <is>
          <t>Murgröna
Tvåblad</t>
        </is>
      </c>
      <c r="S279">
        <f>HYPERLINK("https://klasma.github.io/Logging_1471/artfynd/A 27439-2020 artfynd.xlsx", "A 27439-2020")</f>
        <v/>
      </c>
      <c r="T279">
        <f>HYPERLINK("https://klasma.github.io/Logging_1471/kartor/A 27439-2020 karta.png", "A 27439-2020")</f>
        <v/>
      </c>
      <c r="V279">
        <f>HYPERLINK("https://klasma.github.io/Logging_1471/klagomål/A 27439-2020 FSC-klagomål.docx", "A 27439-2020")</f>
        <v/>
      </c>
      <c r="W279">
        <f>HYPERLINK("https://klasma.github.io/Logging_1471/klagomålsmail/A 27439-2020 FSC-klagomål mail.docx", "A 27439-2020")</f>
        <v/>
      </c>
      <c r="X279">
        <f>HYPERLINK("https://klasma.github.io/Logging_1471/tillsyn/A 27439-2020 tillsynsbegäran.docx", "A 27439-2020")</f>
        <v/>
      </c>
      <c r="Y279">
        <f>HYPERLINK("https://klasma.github.io/Logging_1471/tillsynsmail/A 27439-2020 tillsynsbegäran mail.docx", "A 27439-2020")</f>
        <v/>
      </c>
    </row>
    <row r="280" ht="15" customHeight="1">
      <c r="A280" t="inlineStr">
        <is>
          <t>A 30704-2020</t>
        </is>
      </c>
      <c r="B280" s="1" t="n">
        <v>44007</v>
      </c>
      <c r="C280" s="1" t="n">
        <v>45586</v>
      </c>
      <c r="D280" t="inlineStr">
        <is>
          <t>VÄSTRA GÖTALANDS LÄN</t>
        </is>
      </c>
      <c r="E280" t="inlineStr">
        <is>
          <t>TANUM</t>
        </is>
      </c>
      <c r="G280" t="n">
        <v>1.4</v>
      </c>
      <c r="H280" t="n">
        <v>2</v>
      </c>
      <c r="I280" t="n">
        <v>0</v>
      </c>
      <c r="J280" t="n">
        <v>0</v>
      </c>
      <c r="K280" t="n">
        <v>0</v>
      </c>
      <c r="L280" t="n">
        <v>0</v>
      </c>
      <c r="M280" t="n">
        <v>0</v>
      </c>
      <c r="N280" t="n">
        <v>0</v>
      </c>
      <c r="O280" t="n">
        <v>0</v>
      </c>
      <c r="P280" t="n">
        <v>0</v>
      </c>
      <c r="Q280" t="n">
        <v>2</v>
      </c>
      <c r="R280" s="2" t="inlineStr">
        <is>
          <t>Lopplummer
Revlummer</t>
        </is>
      </c>
      <c r="S280">
        <f>HYPERLINK("https://klasma.github.io/Logging_1435/artfynd/A 30704-2020 artfynd.xlsx", "A 30704-2020")</f>
        <v/>
      </c>
      <c r="T280">
        <f>HYPERLINK("https://klasma.github.io/Logging_1435/kartor/A 30704-2020 karta.png", "A 30704-2020")</f>
        <v/>
      </c>
      <c r="V280">
        <f>HYPERLINK("https://klasma.github.io/Logging_1435/klagomål/A 30704-2020 FSC-klagomål.docx", "A 30704-2020")</f>
        <v/>
      </c>
      <c r="W280">
        <f>HYPERLINK("https://klasma.github.io/Logging_1435/klagomålsmail/A 30704-2020 FSC-klagomål mail.docx", "A 30704-2020")</f>
        <v/>
      </c>
      <c r="X280">
        <f>HYPERLINK("https://klasma.github.io/Logging_1435/tillsyn/A 30704-2020 tillsynsbegäran.docx", "A 30704-2020")</f>
        <v/>
      </c>
      <c r="Y280">
        <f>HYPERLINK("https://klasma.github.io/Logging_1435/tillsynsmail/A 30704-2020 tillsynsbegäran mail.docx", "A 30704-2020")</f>
        <v/>
      </c>
    </row>
    <row r="281" ht="15" customHeight="1">
      <c r="A281" t="inlineStr">
        <is>
          <t>A 30638-2020</t>
        </is>
      </c>
      <c r="B281" s="1" t="n">
        <v>44008</v>
      </c>
      <c r="C281" s="1" t="n">
        <v>45586</v>
      </c>
      <c r="D281" t="inlineStr">
        <is>
          <t>VÄSTRA GÖTALANDS LÄN</t>
        </is>
      </c>
      <c r="E281" t="inlineStr">
        <is>
          <t>TRANEMO</t>
        </is>
      </c>
      <c r="F281" t="inlineStr">
        <is>
          <t>Kyrkan</t>
        </is>
      </c>
      <c r="G281" t="n">
        <v>0.6</v>
      </c>
      <c r="H281" t="n">
        <v>0</v>
      </c>
      <c r="I281" t="n">
        <v>2</v>
      </c>
      <c r="J281" t="n">
        <v>0</v>
      </c>
      <c r="K281" t="n">
        <v>0</v>
      </c>
      <c r="L281" t="n">
        <v>0</v>
      </c>
      <c r="M281" t="n">
        <v>0</v>
      </c>
      <c r="N281" t="n">
        <v>0</v>
      </c>
      <c r="O281" t="n">
        <v>0</v>
      </c>
      <c r="P281" t="n">
        <v>0</v>
      </c>
      <c r="Q281" t="n">
        <v>2</v>
      </c>
      <c r="R281" s="2" t="inlineStr">
        <is>
          <t>Dropptaggsvamp
Kattfotslav</t>
        </is>
      </c>
      <c r="S281">
        <f>HYPERLINK("https://klasma.github.io/Logging_1452/artfynd/A 30638-2020 artfynd.xlsx", "A 30638-2020")</f>
        <v/>
      </c>
      <c r="T281">
        <f>HYPERLINK("https://klasma.github.io/Logging_1452/kartor/A 30638-2020 karta.png", "A 30638-2020")</f>
        <v/>
      </c>
      <c r="V281">
        <f>HYPERLINK("https://klasma.github.io/Logging_1452/klagomål/A 30638-2020 FSC-klagomål.docx", "A 30638-2020")</f>
        <v/>
      </c>
      <c r="W281">
        <f>HYPERLINK("https://klasma.github.io/Logging_1452/klagomålsmail/A 30638-2020 FSC-klagomål mail.docx", "A 30638-2020")</f>
        <v/>
      </c>
      <c r="X281">
        <f>HYPERLINK("https://klasma.github.io/Logging_1452/tillsyn/A 30638-2020 tillsynsbegäran.docx", "A 30638-2020")</f>
        <v/>
      </c>
      <c r="Y281">
        <f>HYPERLINK("https://klasma.github.io/Logging_1452/tillsynsmail/A 30638-2020 tillsynsbegäran mail.docx", "A 30638-2020")</f>
        <v/>
      </c>
    </row>
    <row r="282" ht="15" customHeight="1">
      <c r="A282" t="inlineStr">
        <is>
          <t>A 30824-2020</t>
        </is>
      </c>
      <c r="B282" s="1" t="n">
        <v>44011</v>
      </c>
      <c r="C282" s="1" t="n">
        <v>45586</v>
      </c>
      <c r="D282" t="inlineStr">
        <is>
          <t>VÄSTRA GÖTALANDS LÄN</t>
        </is>
      </c>
      <c r="E282" t="inlineStr">
        <is>
          <t>TRANEMO</t>
        </is>
      </c>
      <c r="F282" t="inlineStr">
        <is>
          <t>Kyrkan</t>
        </is>
      </c>
      <c r="G282" t="n">
        <v>5.1</v>
      </c>
      <c r="H282" t="n">
        <v>0</v>
      </c>
      <c r="I282" t="n">
        <v>2</v>
      </c>
      <c r="J282" t="n">
        <v>0</v>
      </c>
      <c r="K282" t="n">
        <v>0</v>
      </c>
      <c r="L282" t="n">
        <v>0</v>
      </c>
      <c r="M282" t="n">
        <v>0</v>
      </c>
      <c r="N282" t="n">
        <v>0</v>
      </c>
      <c r="O282" t="n">
        <v>0</v>
      </c>
      <c r="P282" t="n">
        <v>0</v>
      </c>
      <c r="Q282" t="n">
        <v>2</v>
      </c>
      <c r="R282" s="2" t="inlineStr">
        <is>
          <t>Kattfotslav
Stor revmossa</t>
        </is>
      </c>
      <c r="S282">
        <f>HYPERLINK("https://klasma.github.io/Logging_1452/artfynd/A 30824-2020 artfynd.xlsx", "A 30824-2020")</f>
        <v/>
      </c>
      <c r="T282">
        <f>HYPERLINK("https://klasma.github.io/Logging_1452/kartor/A 30824-2020 karta.png", "A 30824-2020")</f>
        <v/>
      </c>
      <c r="V282">
        <f>HYPERLINK("https://klasma.github.io/Logging_1452/klagomål/A 30824-2020 FSC-klagomål.docx", "A 30824-2020")</f>
        <v/>
      </c>
      <c r="W282">
        <f>HYPERLINK("https://klasma.github.io/Logging_1452/klagomålsmail/A 30824-2020 FSC-klagomål mail.docx", "A 30824-2020")</f>
        <v/>
      </c>
      <c r="X282">
        <f>HYPERLINK("https://klasma.github.io/Logging_1452/tillsyn/A 30824-2020 tillsynsbegäran.docx", "A 30824-2020")</f>
        <v/>
      </c>
      <c r="Y282">
        <f>HYPERLINK("https://klasma.github.io/Logging_1452/tillsynsmail/A 30824-2020 tillsynsbegäran mail.docx", "A 30824-2020")</f>
        <v/>
      </c>
    </row>
    <row r="283" ht="15" customHeight="1">
      <c r="A283" t="inlineStr">
        <is>
          <t>A 36337-2020</t>
        </is>
      </c>
      <c r="B283" s="1" t="n">
        <v>44049</v>
      </c>
      <c r="C283" s="1" t="n">
        <v>45586</v>
      </c>
      <c r="D283" t="inlineStr">
        <is>
          <t>VÄSTRA GÖTALANDS LÄN</t>
        </is>
      </c>
      <c r="E283" t="inlineStr">
        <is>
          <t>STENUNGSUND</t>
        </is>
      </c>
      <c r="F283" t="inlineStr">
        <is>
          <t>Sveaskog</t>
        </is>
      </c>
      <c r="G283" t="n">
        <v>9.199999999999999</v>
      </c>
      <c r="H283" t="n">
        <v>0</v>
      </c>
      <c r="I283" t="n">
        <v>1</v>
      </c>
      <c r="J283" t="n">
        <v>1</v>
      </c>
      <c r="K283" t="n">
        <v>0</v>
      </c>
      <c r="L283" t="n">
        <v>0</v>
      </c>
      <c r="M283" t="n">
        <v>0</v>
      </c>
      <c r="N283" t="n">
        <v>0</v>
      </c>
      <c r="O283" t="n">
        <v>1</v>
      </c>
      <c r="P283" t="n">
        <v>0</v>
      </c>
      <c r="Q283" t="n">
        <v>2</v>
      </c>
      <c r="R283" s="2" t="inlineStr">
        <is>
          <t>Violettkantad guldvinge
Murgröna</t>
        </is>
      </c>
      <c r="S283">
        <f>HYPERLINK("https://klasma.github.io/Logging_1415/artfynd/A 36337-2020 artfynd.xlsx", "A 36337-2020")</f>
        <v/>
      </c>
      <c r="T283">
        <f>HYPERLINK("https://klasma.github.io/Logging_1415/kartor/A 36337-2020 karta.png", "A 36337-2020")</f>
        <v/>
      </c>
      <c r="V283">
        <f>HYPERLINK("https://klasma.github.io/Logging_1415/klagomål/A 36337-2020 FSC-klagomål.docx", "A 36337-2020")</f>
        <v/>
      </c>
      <c r="W283">
        <f>HYPERLINK("https://klasma.github.io/Logging_1415/klagomålsmail/A 36337-2020 FSC-klagomål mail.docx", "A 36337-2020")</f>
        <v/>
      </c>
      <c r="X283">
        <f>HYPERLINK("https://klasma.github.io/Logging_1415/tillsyn/A 36337-2020 tillsynsbegäran.docx", "A 36337-2020")</f>
        <v/>
      </c>
      <c r="Y283">
        <f>HYPERLINK("https://klasma.github.io/Logging_1415/tillsynsmail/A 36337-2020 tillsynsbegäran mail.docx", "A 36337-2020")</f>
        <v/>
      </c>
    </row>
    <row r="284" ht="15" customHeight="1">
      <c r="A284" t="inlineStr">
        <is>
          <t>A 36339-2020</t>
        </is>
      </c>
      <c r="B284" s="1" t="n">
        <v>44049</v>
      </c>
      <c r="C284" s="1" t="n">
        <v>45586</v>
      </c>
      <c r="D284" t="inlineStr">
        <is>
          <t>VÄSTRA GÖTALANDS LÄN</t>
        </is>
      </c>
      <c r="E284" t="inlineStr">
        <is>
          <t>STENUNGSUND</t>
        </is>
      </c>
      <c r="F284" t="inlineStr">
        <is>
          <t>Sveaskog</t>
        </is>
      </c>
      <c r="G284" t="n">
        <v>8.4</v>
      </c>
      <c r="H284" t="n">
        <v>2</v>
      </c>
      <c r="I284" t="n">
        <v>0</v>
      </c>
      <c r="J284" t="n">
        <v>2</v>
      </c>
      <c r="K284" t="n">
        <v>0</v>
      </c>
      <c r="L284" t="n">
        <v>0</v>
      </c>
      <c r="M284" t="n">
        <v>0</v>
      </c>
      <c r="N284" t="n">
        <v>0</v>
      </c>
      <c r="O284" t="n">
        <v>2</v>
      </c>
      <c r="P284" t="n">
        <v>0</v>
      </c>
      <c r="Q284" t="n">
        <v>2</v>
      </c>
      <c r="R284" s="2" t="inlineStr">
        <is>
          <t>Spillkråka
Talltita</t>
        </is>
      </c>
      <c r="S284">
        <f>HYPERLINK("https://klasma.github.io/Logging_1415/artfynd/A 36339-2020 artfynd.xlsx", "A 36339-2020")</f>
        <v/>
      </c>
      <c r="T284">
        <f>HYPERLINK("https://klasma.github.io/Logging_1415/kartor/A 36339-2020 karta.png", "A 36339-2020")</f>
        <v/>
      </c>
      <c r="V284">
        <f>HYPERLINK("https://klasma.github.io/Logging_1415/klagomål/A 36339-2020 FSC-klagomål.docx", "A 36339-2020")</f>
        <v/>
      </c>
      <c r="W284">
        <f>HYPERLINK("https://klasma.github.io/Logging_1415/klagomålsmail/A 36339-2020 FSC-klagomål mail.docx", "A 36339-2020")</f>
        <v/>
      </c>
      <c r="X284">
        <f>HYPERLINK("https://klasma.github.io/Logging_1415/tillsyn/A 36339-2020 tillsynsbegäran.docx", "A 36339-2020")</f>
        <v/>
      </c>
      <c r="Y284">
        <f>HYPERLINK("https://klasma.github.io/Logging_1415/tillsynsmail/A 36339-2020 tillsynsbegäran mail.docx", "A 36339-2020")</f>
        <v/>
      </c>
      <c r="Z284">
        <f>HYPERLINK("https://klasma.github.io/Logging_1415/fåglar/A 36339-2020 prioriterade fågelarter.docx", "A 36339-2020")</f>
        <v/>
      </c>
    </row>
    <row r="285" ht="15" customHeight="1">
      <c r="A285" t="inlineStr">
        <is>
          <t>A 43665-2020</t>
        </is>
      </c>
      <c r="B285" s="1" t="n">
        <v>44078</v>
      </c>
      <c r="C285" s="1" t="n">
        <v>45586</v>
      </c>
      <c r="D285" t="inlineStr">
        <is>
          <t>VÄSTRA GÖTALANDS LÄN</t>
        </is>
      </c>
      <c r="E285" t="inlineStr">
        <is>
          <t>MUNKEDAL</t>
        </is>
      </c>
      <c r="G285" t="n">
        <v>8.9</v>
      </c>
      <c r="H285" t="n">
        <v>2</v>
      </c>
      <c r="I285" t="n">
        <v>0</v>
      </c>
      <c r="J285" t="n">
        <v>0</v>
      </c>
      <c r="K285" t="n">
        <v>0</v>
      </c>
      <c r="L285" t="n">
        <v>0</v>
      </c>
      <c r="M285" t="n">
        <v>0</v>
      </c>
      <c r="N285" t="n">
        <v>0</v>
      </c>
      <c r="O285" t="n">
        <v>0</v>
      </c>
      <c r="P285" t="n">
        <v>0</v>
      </c>
      <c r="Q285" t="n">
        <v>2</v>
      </c>
      <c r="R285" s="2" t="inlineStr">
        <is>
          <t>Blåsippa
Mattlummer</t>
        </is>
      </c>
      <c r="S285">
        <f>HYPERLINK("https://klasma.github.io/Logging_1430/artfynd/A 43665-2020 artfynd.xlsx", "A 43665-2020")</f>
        <v/>
      </c>
      <c r="T285">
        <f>HYPERLINK("https://klasma.github.io/Logging_1430/kartor/A 43665-2020 karta.png", "A 43665-2020")</f>
        <v/>
      </c>
      <c r="V285">
        <f>HYPERLINK("https://klasma.github.io/Logging_1430/klagomål/A 43665-2020 FSC-klagomål.docx", "A 43665-2020")</f>
        <v/>
      </c>
      <c r="W285">
        <f>HYPERLINK("https://klasma.github.io/Logging_1430/klagomålsmail/A 43665-2020 FSC-klagomål mail.docx", "A 43665-2020")</f>
        <v/>
      </c>
      <c r="X285">
        <f>HYPERLINK("https://klasma.github.io/Logging_1430/tillsyn/A 43665-2020 tillsynsbegäran.docx", "A 43665-2020")</f>
        <v/>
      </c>
      <c r="Y285">
        <f>HYPERLINK("https://klasma.github.io/Logging_1430/tillsynsmail/A 43665-2020 tillsynsbegäran mail.docx", "A 43665-2020")</f>
        <v/>
      </c>
    </row>
    <row r="286" ht="15" customHeight="1">
      <c r="A286" t="inlineStr">
        <is>
          <t>A 44608-2020</t>
        </is>
      </c>
      <c r="B286" s="1" t="n">
        <v>44085</v>
      </c>
      <c r="C286" s="1" t="n">
        <v>45586</v>
      </c>
      <c r="D286" t="inlineStr">
        <is>
          <t>VÄSTRA GÖTALANDS LÄN</t>
        </is>
      </c>
      <c r="E286" t="inlineStr">
        <is>
          <t>TJÖRN</t>
        </is>
      </c>
      <c r="G286" t="n">
        <v>4.6</v>
      </c>
      <c r="H286" t="n">
        <v>2</v>
      </c>
      <c r="I286" t="n">
        <v>0</v>
      </c>
      <c r="J286" t="n">
        <v>0</v>
      </c>
      <c r="K286" t="n">
        <v>1</v>
      </c>
      <c r="L286" t="n">
        <v>0</v>
      </c>
      <c r="M286" t="n">
        <v>0</v>
      </c>
      <c r="N286" t="n">
        <v>0</v>
      </c>
      <c r="O286" t="n">
        <v>1</v>
      </c>
      <c r="P286" t="n">
        <v>1</v>
      </c>
      <c r="Q286" t="n">
        <v>2</v>
      </c>
      <c r="R286" s="2" t="inlineStr">
        <is>
          <t>Krypfloka
Lopplummer</t>
        </is>
      </c>
      <c r="S286">
        <f>HYPERLINK("https://klasma.github.io/Logging_1419/artfynd/A 44608-2020 artfynd.xlsx", "A 44608-2020")</f>
        <v/>
      </c>
      <c r="T286">
        <f>HYPERLINK("https://klasma.github.io/Logging_1419/kartor/A 44608-2020 karta.png", "A 44608-2020")</f>
        <v/>
      </c>
      <c r="V286">
        <f>HYPERLINK("https://klasma.github.io/Logging_1419/klagomål/A 44608-2020 FSC-klagomål.docx", "A 44608-2020")</f>
        <v/>
      </c>
      <c r="W286">
        <f>HYPERLINK("https://klasma.github.io/Logging_1419/klagomålsmail/A 44608-2020 FSC-klagomål mail.docx", "A 44608-2020")</f>
        <v/>
      </c>
      <c r="X286">
        <f>HYPERLINK("https://klasma.github.io/Logging_1419/tillsyn/A 44608-2020 tillsynsbegäran.docx", "A 44608-2020")</f>
        <v/>
      </c>
      <c r="Y286">
        <f>HYPERLINK("https://klasma.github.io/Logging_1419/tillsynsmail/A 44608-2020 tillsynsbegäran mail.docx", "A 44608-2020")</f>
        <v/>
      </c>
    </row>
    <row r="287" ht="15" customHeight="1">
      <c r="A287" t="inlineStr">
        <is>
          <t>A 45557-2020</t>
        </is>
      </c>
      <c r="B287" s="1" t="n">
        <v>44090</v>
      </c>
      <c r="C287" s="1" t="n">
        <v>45586</v>
      </c>
      <c r="D287" t="inlineStr">
        <is>
          <t>VÄSTRA GÖTALANDS LÄN</t>
        </is>
      </c>
      <c r="E287" t="inlineStr">
        <is>
          <t>TIDAHOLM</t>
        </is>
      </c>
      <c r="G287" t="n">
        <v>4.9</v>
      </c>
      <c r="H287" t="n">
        <v>0</v>
      </c>
      <c r="I287" t="n">
        <v>2</v>
      </c>
      <c r="J287" t="n">
        <v>0</v>
      </c>
      <c r="K287" t="n">
        <v>0</v>
      </c>
      <c r="L287" t="n">
        <v>0</v>
      </c>
      <c r="M287" t="n">
        <v>0</v>
      </c>
      <c r="N287" t="n">
        <v>0</v>
      </c>
      <c r="O287" t="n">
        <v>0</v>
      </c>
      <c r="P287" t="n">
        <v>0</v>
      </c>
      <c r="Q287" t="n">
        <v>2</v>
      </c>
      <c r="R287" s="2" t="inlineStr">
        <is>
          <t>Dropptaggsvamp
Skarp dropptaggsvamp</t>
        </is>
      </c>
      <c r="S287">
        <f>HYPERLINK("https://klasma.github.io/Logging_1498/artfynd/A 45557-2020 artfynd.xlsx", "A 45557-2020")</f>
        <v/>
      </c>
      <c r="T287">
        <f>HYPERLINK("https://klasma.github.io/Logging_1498/kartor/A 45557-2020 karta.png", "A 45557-2020")</f>
        <v/>
      </c>
      <c r="V287">
        <f>HYPERLINK("https://klasma.github.io/Logging_1498/klagomål/A 45557-2020 FSC-klagomål.docx", "A 45557-2020")</f>
        <v/>
      </c>
      <c r="W287">
        <f>HYPERLINK("https://klasma.github.io/Logging_1498/klagomålsmail/A 45557-2020 FSC-klagomål mail.docx", "A 45557-2020")</f>
        <v/>
      </c>
      <c r="X287">
        <f>HYPERLINK("https://klasma.github.io/Logging_1498/tillsyn/A 45557-2020 tillsynsbegäran.docx", "A 45557-2020")</f>
        <v/>
      </c>
      <c r="Y287">
        <f>HYPERLINK("https://klasma.github.io/Logging_1498/tillsynsmail/A 45557-2020 tillsynsbegäran mail.docx", "A 45557-2020")</f>
        <v/>
      </c>
    </row>
    <row r="288" ht="15" customHeight="1">
      <c r="A288" t="inlineStr">
        <is>
          <t>A 57325-2020</t>
        </is>
      </c>
      <c r="B288" s="1" t="n">
        <v>44139</v>
      </c>
      <c r="C288" s="1" t="n">
        <v>45586</v>
      </c>
      <c r="D288" t="inlineStr">
        <is>
          <t>VÄSTRA GÖTALANDS LÄN</t>
        </is>
      </c>
      <c r="E288" t="inlineStr">
        <is>
          <t>UDDEVALLA</t>
        </is>
      </c>
      <c r="G288" t="n">
        <v>10.7</v>
      </c>
      <c r="H288" t="n">
        <v>2</v>
      </c>
      <c r="I288" t="n">
        <v>0</v>
      </c>
      <c r="J288" t="n">
        <v>1</v>
      </c>
      <c r="K288" t="n">
        <v>1</v>
      </c>
      <c r="L288" t="n">
        <v>0</v>
      </c>
      <c r="M288" t="n">
        <v>0</v>
      </c>
      <c r="N288" t="n">
        <v>0</v>
      </c>
      <c r="O288" t="n">
        <v>2</v>
      </c>
      <c r="P288" t="n">
        <v>1</v>
      </c>
      <c r="Q288" t="n">
        <v>2</v>
      </c>
      <c r="R288" s="2" t="inlineStr">
        <is>
          <t>Knärot
Fjällvråk</t>
        </is>
      </c>
      <c r="S288">
        <f>HYPERLINK("https://klasma.github.io/Logging_1485/artfynd/A 57325-2020 artfynd.xlsx", "A 57325-2020")</f>
        <v/>
      </c>
      <c r="T288">
        <f>HYPERLINK("https://klasma.github.io/Logging_1485/kartor/A 57325-2020 karta.png", "A 57325-2020")</f>
        <v/>
      </c>
      <c r="U288">
        <f>HYPERLINK("https://klasma.github.io/Logging_1485/knärot/A 57325-2020 karta knärot.png", "A 57325-2020")</f>
        <v/>
      </c>
      <c r="V288">
        <f>HYPERLINK("https://klasma.github.io/Logging_1485/klagomål/A 57325-2020 FSC-klagomål.docx", "A 57325-2020")</f>
        <v/>
      </c>
      <c r="W288">
        <f>HYPERLINK("https://klasma.github.io/Logging_1485/klagomålsmail/A 57325-2020 FSC-klagomål mail.docx", "A 57325-2020")</f>
        <v/>
      </c>
      <c r="X288">
        <f>HYPERLINK("https://klasma.github.io/Logging_1485/tillsyn/A 57325-2020 tillsynsbegäran.docx", "A 57325-2020")</f>
        <v/>
      </c>
      <c r="Y288">
        <f>HYPERLINK("https://klasma.github.io/Logging_1485/tillsynsmail/A 57325-2020 tillsynsbegäran mail.docx", "A 57325-2020")</f>
        <v/>
      </c>
      <c r="Z288">
        <f>HYPERLINK("https://klasma.github.io/Logging_1485/fåglar/A 57325-2020 prioriterade fågelarter.docx", "A 57325-2020")</f>
        <v/>
      </c>
    </row>
    <row r="289" ht="15" customHeight="1">
      <c r="A289" t="inlineStr">
        <is>
          <t>A 58360-2020</t>
        </is>
      </c>
      <c r="B289" s="1" t="n">
        <v>44144</v>
      </c>
      <c r="C289" s="1" t="n">
        <v>45586</v>
      </c>
      <c r="D289" t="inlineStr">
        <is>
          <t>VÄSTRA GÖTALANDS LÄN</t>
        </is>
      </c>
      <c r="E289" t="inlineStr">
        <is>
          <t>MELLERUD</t>
        </is>
      </c>
      <c r="G289" t="n">
        <v>6.3</v>
      </c>
      <c r="H289" t="n">
        <v>1</v>
      </c>
      <c r="I289" t="n">
        <v>0</v>
      </c>
      <c r="J289" t="n">
        <v>0</v>
      </c>
      <c r="K289" t="n">
        <v>0</v>
      </c>
      <c r="L289" t="n">
        <v>1</v>
      </c>
      <c r="M289" t="n">
        <v>0</v>
      </c>
      <c r="N289" t="n">
        <v>0</v>
      </c>
      <c r="O289" t="n">
        <v>1</v>
      </c>
      <c r="P289" t="n">
        <v>1</v>
      </c>
      <c r="Q289" t="n">
        <v>2</v>
      </c>
      <c r="R289" s="2" t="inlineStr">
        <is>
          <t>Ask
Grönvit nattviol</t>
        </is>
      </c>
      <c r="S289">
        <f>HYPERLINK("https://klasma.github.io/Logging_1461/artfynd/A 58360-2020 artfynd.xlsx", "A 58360-2020")</f>
        <v/>
      </c>
      <c r="T289">
        <f>HYPERLINK("https://klasma.github.io/Logging_1461/kartor/A 58360-2020 karta.png", "A 58360-2020")</f>
        <v/>
      </c>
      <c r="V289">
        <f>HYPERLINK("https://klasma.github.io/Logging_1461/klagomål/A 58360-2020 FSC-klagomål.docx", "A 58360-2020")</f>
        <v/>
      </c>
      <c r="W289">
        <f>HYPERLINK("https://klasma.github.io/Logging_1461/klagomålsmail/A 58360-2020 FSC-klagomål mail.docx", "A 58360-2020")</f>
        <v/>
      </c>
      <c r="X289">
        <f>HYPERLINK("https://klasma.github.io/Logging_1461/tillsyn/A 58360-2020 tillsynsbegäran.docx", "A 58360-2020")</f>
        <v/>
      </c>
      <c r="Y289">
        <f>HYPERLINK("https://klasma.github.io/Logging_1461/tillsynsmail/A 58360-2020 tillsynsbegäran mail.docx", "A 58360-2020")</f>
        <v/>
      </c>
    </row>
    <row r="290" ht="15" customHeight="1">
      <c r="A290" t="inlineStr">
        <is>
          <t>A 58804-2020</t>
        </is>
      </c>
      <c r="B290" s="1" t="n">
        <v>44146</v>
      </c>
      <c r="C290" s="1" t="n">
        <v>45586</v>
      </c>
      <c r="D290" t="inlineStr">
        <is>
          <t>VÄSTRA GÖTALANDS LÄN</t>
        </is>
      </c>
      <c r="E290" t="inlineStr">
        <is>
          <t>GÖTEBORG</t>
        </is>
      </c>
      <c r="G290" t="n">
        <v>0.8</v>
      </c>
      <c r="H290" t="n">
        <v>1</v>
      </c>
      <c r="I290" t="n">
        <v>0</v>
      </c>
      <c r="J290" t="n">
        <v>0</v>
      </c>
      <c r="K290" t="n">
        <v>0</v>
      </c>
      <c r="L290" t="n">
        <v>1</v>
      </c>
      <c r="M290" t="n">
        <v>0</v>
      </c>
      <c r="N290" t="n">
        <v>0</v>
      </c>
      <c r="O290" t="n">
        <v>1</v>
      </c>
      <c r="P290" t="n">
        <v>1</v>
      </c>
      <c r="Q290" t="n">
        <v>2</v>
      </c>
      <c r="R290" s="2" t="inlineStr">
        <is>
          <t>Ask
Vanlig groda</t>
        </is>
      </c>
      <c r="S290">
        <f>HYPERLINK("https://klasma.github.io/Logging_1480/artfynd/A 58804-2020 artfynd.xlsx", "A 58804-2020")</f>
        <v/>
      </c>
      <c r="T290">
        <f>HYPERLINK("https://klasma.github.io/Logging_1480/kartor/A 58804-2020 karta.png", "A 58804-2020")</f>
        <v/>
      </c>
      <c r="V290">
        <f>HYPERLINK("https://klasma.github.io/Logging_1480/klagomål/A 58804-2020 FSC-klagomål.docx", "A 58804-2020")</f>
        <v/>
      </c>
      <c r="W290">
        <f>HYPERLINK("https://klasma.github.io/Logging_1480/klagomålsmail/A 58804-2020 FSC-klagomål mail.docx", "A 58804-2020")</f>
        <v/>
      </c>
      <c r="X290">
        <f>HYPERLINK("https://klasma.github.io/Logging_1480/tillsyn/A 58804-2020 tillsynsbegäran.docx", "A 58804-2020")</f>
        <v/>
      </c>
      <c r="Y290">
        <f>HYPERLINK("https://klasma.github.io/Logging_1480/tillsynsmail/A 58804-2020 tillsynsbegäran mail.docx", "A 58804-2020")</f>
        <v/>
      </c>
    </row>
    <row r="291" ht="15" customHeight="1">
      <c r="A291" t="inlineStr">
        <is>
          <t>A 61845-2020</t>
        </is>
      </c>
      <c r="B291" s="1" t="n">
        <v>44159</v>
      </c>
      <c r="C291" s="1" t="n">
        <v>45586</v>
      </c>
      <c r="D291" t="inlineStr">
        <is>
          <t>VÄSTRA GÖTALANDS LÄN</t>
        </is>
      </c>
      <c r="E291" t="inlineStr">
        <is>
          <t>BORÅS</t>
        </is>
      </c>
      <c r="G291" t="n">
        <v>10.6</v>
      </c>
      <c r="H291" t="n">
        <v>1</v>
      </c>
      <c r="I291" t="n">
        <v>1</v>
      </c>
      <c r="J291" t="n">
        <v>1</v>
      </c>
      <c r="K291" t="n">
        <v>0</v>
      </c>
      <c r="L291" t="n">
        <v>0</v>
      </c>
      <c r="M291" t="n">
        <v>0</v>
      </c>
      <c r="N291" t="n">
        <v>0</v>
      </c>
      <c r="O291" t="n">
        <v>1</v>
      </c>
      <c r="P291" t="n">
        <v>0</v>
      </c>
      <c r="Q291" t="n">
        <v>2</v>
      </c>
      <c r="R291" s="2" t="inlineStr">
        <is>
          <t>Talltita
Kattfotslav</t>
        </is>
      </c>
      <c r="S291">
        <f>HYPERLINK("https://klasma.github.io/Logging_1490/artfynd/A 61845-2020 artfynd.xlsx", "A 61845-2020")</f>
        <v/>
      </c>
      <c r="T291">
        <f>HYPERLINK("https://klasma.github.io/Logging_1490/kartor/A 61845-2020 karta.png", "A 61845-2020")</f>
        <v/>
      </c>
      <c r="V291">
        <f>HYPERLINK("https://klasma.github.io/Logging_1490/klagomål/A 61845-2020 FSC-klagomål.docx", "A 61845-2020")</f>
        <v/>
      </c>
      <c r="W291">
        <f>HYPERLINK("https://klasma.github.io/Logging_1490/klagomålsmail/A 61845-2020 FSC-klagomål mail.docx", "A 61845-2020")</f>
        <v/>
      </c>
      <c r="X291">
        <f>HYPERLINK("https://klasma.github.io/Logging_1490/tillsyn/A 61845-2020 tillsynsbegäran.docx", "A 61845-2020")</f>
        <v/>
      </c>
      <c r="Y291">
        <f>HYPERLINK("https://klasma.github.io/Logging_1490/tillsynsmail/A 61845-2020 tillsynsbegäran mail.docx", "A 61845-2020")</f>
        <v/>
      </c>
      <c r="Z291">
        <f>HYPERLINK("https://klasma.github.io/Logging_1490/fåglar/A 61845-2020 prioriterade fågelarter.docx", "A 61845-2020")</f>
        <v/>
      </c>
    </row>
    <row r="292" ht="15" customHeight="1">
      <c r="A292" t="inlineStr">
        <is>
          <t>A 64042-2020</t>
        </is>
      </c>
      <c r="B292" s="1" t="n">
        <v>44167</v>
      </c>
      <c r="C292" s="1" t="n">
        <v>45586</v>
      </c>
      <c r="D292" t="inlineStr">
        <is>
          <t>VÄSTRA GÖTALANDS LÄN</t>
        </is>
      </c>
      <c r="E292" t="inlineStr">
        <is>
          <t>VÄNERSBORG</t>
        </is>
      </c>
      <c r="G292" t="n">
        <v>3.4</v>
      </c>
      <c r="H292" t="n">
        <v>2</v>
      </c>
      <c r="I292" t="n">
        <v>0</v>
      </c>
      <c r="J292" t="n">
        <v>1</v>
      </c>
      <c r="K292" t="n">
        <v>0</v>
      </c>
      <c r="L292" t="n">
        <v>0</v>
      </c>
      <c r="M292" t="n">
        <v>0</v>
      </c>
      <c r="N292" t="n">
        <v>0</v>
      </c>
      <c r="O292" t="n">
        <v>1</v>
      </c>
      <c r="P292" t="n">
        <v>0</v>
      </c>
      <c r="Q292" t="n">
        <v>2</v>
      </c>
      <c r="R292" s="2" t="inlineStr">
        <is>
          <t>Spillkråka
Mindre vattensalamander</t>
        </is>
      </c>
      <c r="S292">
        <f>HYPERLINK("https://klasma.github.io/Logging_1487/artfynd/A 64042-2020 artfynd.xlsx", "A 64042-2020")</f>
        <v/>
      </c>
      <c r="T292">
        <f>HYPERLINK("https://klasma.github.io/Logging_1487/kartor/A 64042-2020 karta.png", "A 64042-2020")</f>
        <v/>
      </c>
      <c r="V292">
        <f>HYPERLINK("https://klasma.github.io/Logging_1487/klagomål/A 64042-2020 FSC-klagomål.docx", "A 64042-2020")</f>
        <v/>
      </c>
      <c r="W292">
        <f>HYPERLINK("https://klasma.github.io/Logging_1487/klagomålsmail/A 64042-2020 FSC-klagomål mail.docx", "A 64042-2020")</f>
        <v/>
      </c>
      <c r="X292">
        <f>HYPERLINK("https://klasma.github.io/Logging_1487/tillsyn/A 64042-2020 tillsynsbegäran.docx", "A 64042-2020")</f>
        <v/>
      </c>
      <c r="Y292">
        <f>HYPERLINK("https://klasma.github.io/Logging_1487/tillsynsmail/A 64042-2020 tillsynsbegäran mail.docx", "A 64042-2020")</f>
        <v/>
      </c>
      <c r="Z292">
        <f>HYPERLINK("https://klasma.github.io/Logging_1487/fåglar/A 64042-2020 prioriterade fågelarter.docx", "A 64042-2020")</f>
        <v/>
      </c>
    </row>
    <row r="293" ht="15" customHeight="1">
      <c r="A293" t="inlineStr">
        <is>
          <t>A 65506-2020</t>
        </is>
      </c>
      <c r="B293" s="1" t="n">
        <v>44173</v>
      </c>
      <c r="C293" s="1" t="n">
        <v>45586</v>
      </c>
      <c r="D293" t="inlineStr">
        <is>
          <t>VÄSTRA GÖTALANDS LÄN</t>
        </is>
      </c>
      <c r="E293" t="inlineStr">
        <is>
          <t>BOLLEBYGD</t>
        </is>
      </c>
      <c r="G293" t="n">
        <v>5.6</v>
      </c>
      <c r="H293" t="n">
        <v>2</v>
      </c>
      <c r="I293" t="n">
        <v>1</v>
      </c>
      <c r="J293" t="n">
        <v>0</v>
      </c>
      <c r="K293" t="n">
        <v>0</v>
      </c>
      <c r="L293" t="n">
        <v>0</v>
      </c>
      <c r="M293" t="n">
        <v>0</v>
      </c>
      <c r="N293" t="n">
        <v>0</v>
      </c>
      <c r="O293" t="n">
        <v>0</v>
      </c>
      <c r="P293" t="n">
        <v>0</v>
      </c>
      <c r="Q293" t="n">
        <v>2</v>
      </c>
      <c r="R293" s="2" t="inlineStr">
        <is>
          <t>Korallrot
Revlummer</t>
        </is>
      </c>
      <c r="S293">
        <f>HYPERLINK("https://klasma.github.io/Logging_1443/artfynd/A 65506-2020 artfynd.xlsx", "A 65506-2020")</f>
        <v/>
      </c>
      <c r="T293">
        <f>HYPERLINK("https://klasma.github.io/Logging_1443/kartor/A 65506-2020 karta.png", "A 65506-2020")</f>
        <v/>
      </c>
      <c r="V293">
        <f>HYPERLINK("https://klasma.github.io/Logging_1443/klagomål/A 65506-2020 FSC-klagomål.docx", "A 65506-2020")</f>
        <v/>
      </c>
      <c r="W293">
        <f>HYPERLINK("https://klasma.github.io/Logging_1443/klagomålsmail/A 65506-2020 FSC-klagomål mail.docx", "A 65506-2020")</f>
        <v/>
      </c>
      <c r="X293">
        <f>HYPERLINK("https://klasma.github.io/Logging_1443/tillsyn/A 65506-2020 tillsynsbegäran.docx", "A 65506-2020")</f>
        <v/>
      </c>
      <c r="Y293">
        <f>HYPERLINK("https://klasma.github.io/Logging_1443/tillsynsmail/A 65506-2020 tillsynsbegäran mail.docx", "A 65506-2020")</f>
        <v/>
      </c>
    </row>
    <row r="294" ht="15" customHeight="1">
      <c r="A294" t="inlineStr">
        <is>
          <t>A 68546-2020</t>
        </is>
      </c>
      <c r="B294" s="1" t="n">
        <v>44186</v>
      </c>
      <c r="C294" s="1" t="n">
        <v>45586</v>
      </c>
      <c r="D294" t="inlineStr">
        <is>
          <t>VÄSTRA GÖTALANDS LÄN</t>
        </is>
      </c>
      <c r="E294" t="inlineStr">
        <is>
          <t>BENGTSFORS</t>
        </is>
      </c>
      <c r="G294" t="n">
        <v>3.3</v>
      </c>
      <c r="H294" t="n">
        <v>1</v>
      </c>
      <c r="I294" t="n">
        <v>0</v>
      </c>
      <c r="J294" t="n">
        <v>1</v>
      </c>
      <c r="K294" t="n">
        <v>0</v>
      </c>
      <c r="L294" t="n">
        <v>0</v>
      </c>
      <c r="M294" t="n">
        <v>0</v>
      </c>
      <c r="N294" t="n">
        <v>0</v>
      </c>
      <c r="O294" t="n">
        <v>1</v>
      </c>
      <c r="P294" t="n">
        <v>0</v>
      </c>
      <c r="Q294" t="n">
        <v>2</v>
      </c>
      <c r="R294" s="2" t="inlineStr">
        <is>
          <t>Skogsklocka
Grönvit nattviol</t>
        </is>
      </c>
      <c r="S294">
        <f>HYPERLINK("https://klasma.github.io/Logging_1460/artfynd/A 68546-2020 artfynd.xlsx", "A 68546-2020")</f>
        <v/>
      </c>
      <c r="T294">
        <f>HYPERLINK("https://klasma.github.io/Logging_1460/kartor/A 68546-2020 karta.png", "A 68546-2020")</f>
        <v/>
      </c>
      <c r="V294">
        <f>HYPERLINK("https://klasma.github.io/Logging_1460/klagomål/A 68546-2020 FSC-klagomål.docx", "A 68546-2020")</f>
        <v/>
      </c>
      <c r="W294">
        <f>HYPERLINK("https://klasma.github.io/Logging_1460/klagomålsmail/A 68546-2020 FSC-klagomål mail.docx", "A 68546-2020")</f>
        <v/>
      </c>
      <c r="X294">
        <f>HYPERLINK("https://klasma.github.io/Logging_1460/tillsyn/A 68546-2020 tillsynsbegäran.docx", "A 68546-2020")</f>
        <v/>
      </c>
      <c r="Y294">
        <f>HYPERLINK("https://klasma.github.io/Logging_1460/tillsynsmail/A 68546-2020 tillsynsbegäran mail.docx", "A 68546-2020")</f>
        <v/>
      </c>
    </row>
    <row r="295" ht="15" customHeight="1">
      <c r="A295" t="inlineStr">
        <is>
          <t>A 68630-2020</t>
        </is>
      </c>
      <c r="B295" s="1" t="n">
        <v>44186</v>
      </c>
      <c r="C295" s="1" t="n">
        <v>45586</v>
      </c>
      <c r="D295" t="inlineStr">
        <is>
          <t>VÄSTRA GÖTALANDS LÄN</t>
        </is>
      </c>
      <c r="E295" t="inlineStr">
        <is>
          <t>MARIESTAD</t>
        </is>
      </c>
      <c r="G295" t="n">
        <v>6.5</v>
      </c>
      <c r="H295" t="n">
        <v>0</v>
      </c>
      <c r="I295" t="n">
        <v>1</v>
      </c>
      <c r="J295" t="n">
        <v>0</v>
      </c>
      <c r="K295" t="n">
        <v>1</v>
      </c>
      <c r="L295" t="n">
        <v>0</v>
      </c>
      <c r="M295" t="n">
        <v>0</v>
      </c>
      <c r="N295" t="n">
        <v>0</v>
      </c>
      <c r="O295" t="n">
        <v>1</v>
      </c>
      <c r="P295" t="n">
        <v>1</v>
      </c>
      <c r="Q295" t="n">
        <v>2</v>
      </c>
      <c r="R295" s="2" t="inlineStr">
        <is>
          <t>Färgginst
Västlig hakmossa</t>
        </is>
      </c>
      <c r="S295">
        <f>HYPERLINK("https://klasma.github.io/Logging_1493/artfynd/A 68630-2020 artfynd.xlsx", "A 68630-2020")</f>
        <v/>
      </c>
      <c r="T295">
        <f>HYPERLINK("https://klasma.github.io/Logging_1493/kartor/A 68630-2020 karta.png", "A 68630-2020")</f>
        <v/>
      </c>
      <c r="U295">
        <f>HYPERLINK("https://klasma.github.io/Logging_1493/knärot/A 68630-2020 karta knärot.png", "A 68630-2020")</f>
        <v/>
      </c>
      <c r="V295">
        <f>HYPERLINK("https://klasma.github.io/Logging_1493/klagomål/A 68630-2020 FSC-klagomål.docx", "A 68630-2020")</f>
        <v/>
      </c>
      <c r="W295">
        <f>HYPERLINK("https://klasma.github.io/Logging_1493/klagomålsmail/A 68630-2020 FSC-klagomål mail.docx", "A 68630-2020")</f>
        <v/>
      </c>
      <c r="X295">
        <f>HYPERLINK("https://klasma.github.io/Logging_1493/tillsyn/A 68630-2020 tillsynsbegäran.docx", "A 68630-2020")</f>
        <v/>
      </c>
      <c r="Y295">
        <f>HYPERLINK("https://klasma.github.io/Logging_1493/tillsynsmail/A 68630-2020 tillsynsbegäran mail.docx", "A 68630-2020")</f>
        <v/>
      </c>
    </row>
    <row r="296" ht="15" customHeight="1">
      <c r="A296" t="inlineStr">
        <is>
          <t>A 1901-2021</t>
        </is>
      </c>
      <c r="B296" s="1" t="n">
        <v>44210</v>
      </c>
      <c r="C296" s="1" t="n">
        <v>45586</v>
      </c>
      <c r="D296" t="inlineStr">
        <is>
          <t>VÄSTRA GÖTALANDS LÄN</t>
        </is>
      </c>
      <c r="E296" t="inlineStr">
        <is>
          <t>SVENLJUNGA</t>
        </is>
      </c>
      <c r="F296" t="inlineStr">
        <is>
          <t>Kyrkan</t>
        </is>
      </c>
      <c r="G296" t="n">
        <v>17.5</v>
      </c>
      <c r="H296" t="n">
        <v>0</v>
      </c>
      <c r="I296" t="n">
        <v>0</v>
      </c>
      <c r="J296" t="n">
        <v>0</v>
      </c>
      <c r="K296" t="n">
        <v>0</v>
      </c>
      <c r="L296" t="n">
        <v>1</v>
      </c>
      <c r="M296" t="n">
        <v>1</v>
      </c>
      <c r="N296" t="n">
        <v>0</v>
      </c>
      <c r="O296" t="n">
        <v>2</v>
      </c>
      <c r="P296" t="n">
        <v>2</v>
      </c>
      <c r="Q296" t="n">
        <v>2</v>
      </c>
      <c r="R296" s="2" t="inlineStr">
        <is>
          <t>Skogsalm
Ask</t>
        </is>
      </c>
      <c r="S296">
        <f>HYPERLINK("https://klasma.github.io/Logging_1465/artfynd/A 1901-2021 artfynd.xlsx", "A 1901-2021")</f>
        <v/>
      </c>
      <c r="T296">
        <f>HYPERLINK("https://klasma.github.io/Logging_1465/kartor/A 1901-2021 karta.png", "A 1901-2021")</f>
        <v/>
      </c>
      <c r="V296">
        <f>HYPERLINK("https://klasma.github.io/Logging_1465/klagomål/A 1901-2021 FSC-klagomål.docx", "A 1901-2021")</f>
        <v/>
      </c>
      <c r="W296">
        <f>HYPERLINK("https://klasma.github.io/Logging_1465/klagomålsmail/A 1901-2021 FSC-klagomål mail.docx", "A 1901-2021")</f>
        <v/>
      </c>
      <c r="X296">
        <f>HYPERLINK("https://klasma.github.io/Logging_1465/tillsyn/A 1901-2021 tillsynsbegäran.docx", "A 1901-2021")</f>
        <v/>
      </c>
      <c r="Y296">
        <f>HYPERLINK("https://klasma.github.io/Logging_1465/tillsynsmail/A 1901-2021 tillsynsbegäran mail.docx", "A 1901-2021")</f>
        <v/>
      </c>
    </row>
    <row r="297" ht="15" customHeight="1">
      <c r="A297" t="inlineStr">
        <is>
          <t>A 4424-2021</t>
        </is>
      </c>
      <c r="B297" s="1" t="n">
        <v>44224</v>
      </c>
      <c r="C297" s="1" t="n">
        <v>45586</v>
      </c>
      <c r="D297" t="inlineStr">
        <is>
          <t>VÄSTRA GÖTALANDS LÄN</t>
        </is>
      </c>
      <c r="E297" t="inlineStr">
        <is>
          <t>VÅRGÅRDA</t>
        </is>
      </c>
      <c r="F297" t="inlineStr">
        <is>
          <t>Kommuner</t>
        </is>
      </c>
      <c r="G297" t="n">
        <v>9.6</v>
      </c>
      <c r="H297" t="n">
        <v>2</v>
      </c>
      <c r="I297" t="n">
        <v>0</v>
      </c>
      <c r="J297" t="n">
        <v>0</v>
      </c>
      <c r="K297" t="n">
        <v>1</v>
      </c>
      <c r="L297" t="n">
        <v>0</v>
      </c>
      <c r="M297" t="n">
        <v>0</v>
      </c>
      <c r="N297" t="n">
        <v>0</v>
      </c>
      <c r="O297" t="n">
        <v>1</v>
      </c>
      <c r="P297" t="n">
        <v>1</v>
      </c>
      <c r="Q297" t="n">
        <v>2</v>
      </c>
      <c r="R297" s="2" t="inlineStr">
        <is>
          <t>Knärot
Revlummer</t>
        </is>
      </c>
      <c r="S297">
        <f>HYPERLINK("https://klasma.github.io/Logging_1442/artfynd/A 4424-2021 artfynd.xlsx", "A 4424-2021")</f>
        <v/>
      </c>
      <c r="T297">
        <f>HYPERLINK("https://klasma.github.io/Logging_1442/kartor/A 4424-2021 karta.png", "A 4424-2021")</f>
        <v/>
      </c>
      <c r="U297">
        <f>HYPERLINK("https://klasma.github.io/Logging_1442/knärot/A 4424-2021 karta knärot.png", "A 4424-2021")</f>
        <v/>
      </c>
      <c r="V297">
        <f>HYPERLINK("https://klasma.github.io/Logging_1442/klagomål/A 4424-2021 FSC-klagomål.docx", "A 4424-2021")</f>
        <v/>
      </c>
      <c r="W297">
        <f>HYPERLINK("https://klasma.github.io/Logging_1442/klagomålsmail/A 4424-2021 FSC-klagomål mail.docx", "A 4424-2021")</f>
        <v/>
      </c>
      <c r="X297">
        <f>HYPERLINK("https://klasma.github.io/Logging_1442/tillsyn/A 4424-2021 tillsynsbegäran.docx", "A 4424-2021")</f>
        <v/>
      </c>
      <c r="Y297">
        <f>HYPERLINK("https://klasma.github.io/Logging_1442/tillsynsmail/A 4424-2021 tillsynsbegäran mail.docx", "A 4424-2021")</f>
        <v/>
      </c>
    </row>
    <row r="298" ht="15" customHeight="1">
      <c r="A298" t="inlineStr">
        <is>
          <t>A 11984-2021</t>
        </is>
      </c>
      <c r="B298" s="1" t="n">
        <v>44266</v>
      </c>
      <c r="C298" s="1" t="n">
        <v>45586</v>
      </c>
      <c r="D298" t="inlineStr">
        <is>
          <t>VÄSTRA GÖTALANDS LÄN</t>
        </is>
      </c>
      <c r="E298" t="inlineStr">
        <is>
          <t>ORUST</t>
        </is>
      </c>
      <c r="G298" t="n">
        <v>8.4</v>
      </c>
      <c r="H298" t="n">
        <v>1</v>
      </c>
      <c r="I298" t="n">
        <v>0</v>
      </c>
      <c r="J298" t="n">
        <v>1</v>
      </c>
      <c r="K298" t="n">
        <v>0</v>
      </c>
      <c r="L298" t="n">
        <v>0</v>
      </c>
      <c r="M298" t="n">
        <v>0</v>
      </c>
      <c r="N298" t="n">
        <v>0</v>
      </c>
      <c r="O298" t="n">
        <v>1</v>
      </c>
      <c r="P298" t="n">
        <v>0</v>
      </c>
      <c r="Q298" t="n">
        <v>2</v>
      </c>
      <c r="R298" s="2" t="inlineStr">
        <is>
          <t>Sexfläckig bastardsvärmare
Gullviva</t>
        </is>
      </c>
      <c r="S298">
        <f>HYPERLINK("https://klasma.github.io/Logging_1421/artfynd/A 11984-2021 artfynd.xlsx", "A 11984-2021")</f>
        <v/>
      </c>
      <c r="T298">
        <f>HYPERLINK("https://klasma.github.io/Logging_1421/kartor/A 11984-2021 karta.png", "A 11984-2021")</f>
        <v/>
      </c>
      <c r="V298">
        <f>HYPERLINK("https://klasma.github.io/Logging_1421/klagomål/A 11984-2021 FSC-klagomål.docx", "A 11984-2021")</f>
        <v/>
      </c>
      <c r="W298">
        <f>HYPERLINK("https://klasma.github.io/Logging_1421/klagomålsmail/A 11984-2021 FSC-klagomål mail.docx", "A 11984-2021")</f>
        <v/>
      </c>
      <c r="X298">
        <f>HYPERLINK("https://klasma.github.io/Logging_1421/tillsyn/A 11984-2021 tillsynsbegäran.docx", "A 11984-2021")</f>
        <v/>
      </c>
      <c r="Y298">
        <f>HYPERLINK("https://klasma.github.io/Logging_1421/tillsynsmail/A 11984-2021 tillsynsbegäran mail.docx", "A 11984-2021")</f>
        <v/>
      </c>
    </row>
    <row r="299" ht="15" customHeight="1">
      <c r="A299" t="inlineStr">
        <is>
          <t>A 12589-2021</t>
        </is>
      </c>
      <c r="B299" s="1" t="n">
        <v>44270</v>
      </c>
      <c r="C299" s="1" t="n">
        <v>45586</v>
      </c>
      <c r="D299" t="inlineStr">
        <is>
          <t>VÄSTRA GÖTALANDS LÄN</t>
        </is>
      </c>
      <c r="E299" t="inlineStr">
        <is>
          <t>VARA</t>
        </is>
      </c>
      <c r="G299" t="n">
        <v>3</v>
      </c>
      <c r="H299" t="n">
        <v>0</v>
      </c>
      <c r="I299" t="n">
        <v>2</v>
      </c>
      <c r="J299" t="n">
        <v>0</v>
      </c>
      <c r="K299" t="n">
        <v>0</v>
      </c>
      <c r="L299" t="n">
        <v>0</v>
      </c>
      <c r="M299" t="n">
        <v>0</v>
      </c>
      <c r="N299" t="n">
        <v>0</v>
      </c>
      <c r="O299" t="n">
        <v>0</v>
      </c>
      <c r="P299" t="n">
        <v>0</v>
      </c>
      <c r="Q299" t="n">
        <v>2</v>
      </c>
      <c r="R299" s="2" t="inlineStr">
        <is>
          <t>Fällmossa
Rostfläck</t>
        </is>
      </c>
      <c r="S299">
        <f>HYPERLINK("https://klasma.github.io/Logging_1470/artfynd/A 12589-2021 artfynd.xlsx", "A 12589-2021")</f>
        <v/>
      </c>
      <c r="T299">
        <f>HYPERLINK("https://klasma.github.io/Logging_1470/kartor/A 12589-2021 karta.png", "A 12589-2021")</f>
        <v/>
      </c>
      <c r="V299">
        <f>HYPERLINK("https://klasma.github.io/Logging_1470/klagomål/A 12589-2021 FSC-klagomål.docx", "A 12589-2021")</f>
        <v/>
      </c>
      <c r="W299">
        <f>HYPERLINK("https://klasma.github.io/Logging_1470/klagomålsmail/A 12589-2021 FSC-klagomål mail.docx", "A 12589-2021")</f>
        <v/>
      </c>
      <c r="X299">
        <f>HYPERLINK("https://klasma.github.io/Logging_1470/tillsyn/A 12589-2021 tillsynsbegäran.docx", "A 12589-2021")</f>
        <v/>
      </c>
      <c r="Y299">
        <f>HYPERLINK("https://klasma.github.io/Logging_1470/tillsynsmail/A 12589-2021 tillsynsbegäran mail.docx", "A 12589-2021")</f>
        <v/>
      </c>
    </row>
    <row r="300" ht="15" customHeight="1">
      <c r="A300" t="inlineStr">
        <is>
          <t>A 12618-2021</t>
        </is>
      </c>
      <c r="B300" s="1" t="n">
        <v>44270</v>
      </c>
      <c r="C300" s="1" t="n">
        <v>45586</v>
      </c>
      <c r="D300" t="inlineStr">
        <is>
          <t>VÄSTRA GÖTALANDS LÄN</t>
        </is>
      </c>
      <c r="E300" t="inlineStr">
        <is>
          <t>HÄRRYDA</t>
        </is>
      </c>
      <c r="G300" t="n">
        <v>8.699999999999999</v>
      </c>
      <c r="H300" t="n">
        <v>0</v>
      </c>
      <c r="I300" t="n">
        <v>2</v>
      </c>
      <c r="J300" t="n">
        <v>0</v>
      </c>
      <c r="K300" t="n">
        <v>0</v>
      </c>
      <c r="L300" t="n">
        <v>0</v>
      </c>
      <c r="M300" t="n">
        <v>0</v>
      </c>
      <c r="N300" t="n">
        <v>0</v>
      </c>
      <c r="O300" t="n">
        <v>0</v>
      </c>
      <c r="P300" t="n">
        <v>0</v>
      </c>
      <c r="Q300" t="n">
        <v>2</v>
      </c>
      <c r="R300" s="2" t="inlineStr">
        <is>
          <t>Havstulpanlav
Kattfotslav</t>
        </is>
      </c>
      <c r="S300">
        <f>HYPERLINK("https://klasma.github.io/Logging_1401/artfynd/A 12618-2021 artfynd.xlsx", "A 12618-2021")</f>
        <v/>
      </c>
      <c r="T300">
        <f>HYPERLINK("https://klasma.github.io/Logging_1401/kartor/A 12618-2021 karta.png", "A 12618-2021")</f>
        <v/>
      </c>
      <c r="V300">
        <f>HYPERLINK("https://klasma.github.io/Logging_1401/klagomål/A 12618-2021 FSC-klagomål.docx", "A 12618-2021")</f>
        <v/>
      </c>
      <c r="W300">
        <f>HYPERLINK("https://klasma.github.io/Logging_1401/klagomålsmail/A 12618-2021 FSC-klagomål mail.docx", "A 12618-2021")</f>
        <v/>
      </c>
      <c r="X300">
        <f>HYPERLINK("https://klasma.github.io/Logging_1401/tillsyn/A 12618-2021 tillsynsbegäran.docx", "A 12618-2021")</f>
        <v/>
      </c>
      <c r="Y300">
        <f>HYPERLINK("https://klasma.github.io/Logging_1401/tillsynsmail/A 12618-2021 tillsynsbegäran mail.docx", "A 12618-2021")</f>
        <v/>
      </c>
    </row>
    <row r="301" ht="15" customHeight="1">
      <c r="A301" t="inlineStr">
        <is>
          <t>A 13199-2021</t>
        </is>
      </c>
      <c r="B301" s="1" t="n">
        <v>44272</v>
      </c>
      <c r="C301" s="1" t="n">
        <v>45586</v>
      </c>
      <c r="D301" t="inlineStr">
        <is>
          <t>VÄSTRA GÖTALANDS LÄN</t>
        </is>
      </c>
      <c r="E301" t="inlineStr">
        <is>
          <t>HJO</t>
        </is>
      </c>
      <c r="G301" t="n">
        <v>11</v>
      </c>
      <c r="H301" t="n">
        <v>1</v>
      </c>
      <c r="I301" t="n">
        <v>0</v>
      </c>
      <c r="J301" t="n">
        <v>1</v>
      </c>
      <c r="K301" t="n">
        <v>0</v>
      </c>
      <c r="L301" t="n">
        <v>0</v>
      </c>
      <c r="M301" t="n">
        <v>0</v>
      </c>
      <c r="N301" t="n">
        <v>0</v>
      </c>
      <c r="O301" t="n">
        <v>1</v>
      </c>
      <c r="P301" t="n">
        <v>0</v>
      </c>
      <c r="Q301" t="n">
        <v>2</v>
      </c>
      <c r="R301" s="2" t="inlineStr">
        <is>
          <t>Vårstarr
Grönvit nattviol</t>
        </is>
      </c>
      <c r="S301">
        <f>HYPERLINK("https://klasma.github.io/Logging_1497/artfynd/A 13199-2021 artfynd.xlsx", "A 13199-2021")</f>
        <v/>
      </c>
      <c r="T301">
        <f>HYPERLINK("https://klasma.github.io/Logging_1497/kartor/A 13199-2021 karta.png", "A 13199-2021")</f>
        <v/>
      </c>
      <c r="V301">
        <f>HYPERLINK("https://klasma.github.io/Logging_1497/klagomål/A 13199-2021 FSC-klagomål.docx", "A 13199-2021")</f>
        <v/>
      </c>
      <c r="W301">
        <f>HYPERLINK("https://klasma.github.io/Logging_1497/klagomålsmail/A 13199-2021 FSC-klagomål mail.docx", "A 13199-2021")</f>
        <v/>
      </c>
      <c r="X301">
        <f>HYPERLINK("https://klasma.github.io/Logging_1497/tillsyn/A 13199-2021 tillsynsbegäran.docx", "A 13199-2021")</f>
        <v/>
      </c>
      <c r="Y301">
        <f>HYPERLINK("https://klasma.github.io/Logging_1497/tillsynsmail/A 13199-2021 tillsynsbegäran mail.docx", "A 13199-2021")</f>
        <v/>
      </c>
    </row>
    <row r="302" ht="15" customHeight="1">
      <c r="A302" t="inlineStr">
        <is>
          <t>A 21759-2021</t>
        </is>
      </c>
      <c r="B302" s="1" t="n">
        <v>44322</v>
      </c>
      <c r="C302" s="1" t="n">
        <v>45586</v>
      </c>
      <c r="D302" t="inlineStr">
        <is>
          <t>VÄSTRA GÖTALANDS LÄN</t>
        </is>
      </c>
      <c r="E302" t="inlineStr">
        <is>
          <t>MÖLNDAL</t>
        </is>
      </c>
      <c r="F302" t="inlineStr">
        <is>
          <t>Kommuner</t>
        </is>
      </c>
      <c r="G302" t="n">
        <v>3.9</v>
      </c>
      <c r="H302" t="n">
        <v>0</v>
      </c>
      <c r="I302" t="n">
        <v>2</v>
      </c>
      <c r="J302" t="n">
        <v>0</v>
      </c>
      <c r="K302" t="n">
        <v>0</v>
      </c>
      <c r="L302" t="n">
        <v>0</v>
      </c>
      <c r="M302" t="n">
        <v>0</v>
      </c>
      <c r="N302" t="n">
        <v>0</v>
      </c>
      <c r="O302" t="n">
        <v>0</v>
      </c>
      <c r="P302" t="n">
        <v>0</v>
      </c>
      <c r="Q302" t="n">
        <v>2</v>
      </c>
      <c r="R302" s="2" t="inlineStr">
        <is>
          <t>Stubbspretmossa
Västlig hakmossa</t>
        </is>
      </c>
      <c r="S302">
        <f>HYPERLINK("https://klasma.github.io/Logging_1481/artfynd/A 21759-2021 artfynd.xlsx", "A 21759-2021")</f>
        <v/>
      </c>
      <c r="T302">
        <f>HYPERLINK("https://klasma.github.io/Logging_1481/kartor/A 21759-2021 karta.png", "A 21759-2021")</f>
        <v/>
      </c>
      <c r="V302">
        <f>HYPERLINK("https://klasma.github.io/Logging_1481/klagomål/A 21759-2021 FSC-klagomål.docx", "A 21759-2021")</f>
        <v/>
      </c>
      <c r="W302">
        <f>HYPERLINK("https://klasma.github.io/Logging_1481/klagomålsmail/A 21759-2021 FSC-klagomål mail.docx", "A 21759-2021")</f>
        <v/>
      </c>
      <c r="X302">
        <f>HYPERLINK("https://klasma.github.io/Logging_1481/tillsyn/A 21759-2021 tillsynsbegäran.docx", "A 21759-2021")</f>
        <v/>
      </c>
      <c r="Y302">
        <f>HYPERLINK("https://klasma.github.io/Logging_1481/tillsynsmail/A 21759-2021 tillsynsbegäran mail.docx", "A 21759-2021")</f>
        <v/>
      </c>
    </row>
    <row r="303" ht="15" customHeight="1">
      <c r="A303" t="inlineStr">
        <is>
          <t>A 23402-2021</t>
        </is>
      </c>
      <c r="B303" s="1" t="n">
        <v>44333</v>
      </c>
      <c r="C303" s="1" t="n">
        <v>45586</v>
      </c>
      <c r="D303" t="inlineStr">
        <is>
          <t>VÄSTRA GÖTALANDS LÄN</t>
        </is>
      </c>
      <c r="E303" t="inlineStr">
        <is>
          <t>SKÖVDE</t>
        </is>
      </c>
      <c r="G303" t="n">
        <v>0.6</v>
      </c>
      <c r="H303" t="n">
        <v>2</v>
      </c>
      <c r="I303" t="n">
        <v>0</v>
      </c>
      <c r="J303" t="n">
        <v>0</v>
      </c>
      <c r="K303" t="n">
        <v>1</v>
      </c>
      <c r="L303" t="n">
        <v>0</v>
      </c>
      <c r="M303" t="n">
        <v>0</v>
      </c>
      <c r="N303" t="n">
        <v>0</v>
      </c>
      <c r="O303" t="n">
        <v>1</v>
      </c>
      <c r="P303" t="n">
        <v>1</v>
      </c>
      <c r="Q303" t="n">
        <v>2</v>
      </c>
      <c r="R303" s="2" t="inlineStr">
        <is>
          <t>Knölvial
Gullviva</t>
        </is>
      </c>
      <c r="S303">
        <f>HYPERLINK("https://klasma.github.io/Logging_1496/artfynd/A 23402-2021 artfynd.xlsx", "A 23402-2021")</f>
        <v/>
      </c>
      <c r="T303">
        <f>HYPERLINK("https://klasma.github.io/Logging_1496/kartor/A 23402-2021 karta.png", "A 23402-2021")</f>
        <v/>
      </c>
      <c r="V303">
        <f>HYPERLINK("https://klasma.github.io/Logging_1496/klagomål/A 23402-2021 FSC-klagomål.docx", "A 23402-2021")</f>
        <v/>
      </c>
      <c r="W303">
        <f>HYPERLINK("https://klasma.github.io/Logging_1496/klagomålsmail/A 23402-2021 FSC-klagomål mail.docx", "A 23402-2021")</f>
        <v/>
      </c>
      <c r="X303">
        <f>HYPERLINK("https://klasma.github.io/Logging_1496/tillsyn/A 23402-2021 tillsynsbegäran.docx", "A 23402-2021")</f>
        <v/>
      </c>
      <c r="Y303">
        <f>HYPERLINK("https://klasma.github.io/Logging_1496/tillsynsmail/A 23402-2021 tillsynsbegäran mail.docx", "A 23402-2021")</f>
        <v/>
      </c>
    </row>
    <row r="304" ht="15" customHeight="1">
      <c r="A304" t="inlineStr">
        <is>
          <t>A 24680-2021</t>
        </is>
      </c>
      <c r="B304" s="1" t="n">
        <v>44340</v>
      </c>
      <c r="C304" s="1" t="n">
        <v>45586</v>
      </c>
      <c r="D304" t="inlineStr">
        <is>
          <t>VÄSTRA GÖTALANDS LÄN</t>
        </is>
      </c>
      <c r="E304" t="inlineStr">
        <is>
          <t>MUNKEDAL</t>
        </is>
      </c>
      <c r="G304" t="n">
        <v>1.1</v>
      </c>
      <c r="H304" t="n">
        <v>2</v>
      </c>
      <c r="I304" t="n">
        <v>0</v>
      </c>
      <c r="J304" t="n">
        <v>0</v>
      </c>
      <c r="K304" t="n">
        <v>0</v>
      </c>
      <c r="L304" t="n">
        <v>0</v>
      </c>
      <c r="M304" t="n">
        <v>0</v>
      </c>
      <c r="N304" t="n">
        <v>0</v>
      </c>
      <c r="O304" t="n">
        <v>0</v>
      </c>
      <c r="P304" t="n">
        <v>0</v>
      </c>
      <c r="Q304" t="n">
        <v>2</v>
      </c>
      <c r="R304" s="2" t="inlineStr">
        <is>
          <t>Mattlummer
Revlummer</t>
        </is>
      </c>
      <c r="S304">
        <f>HYPERLINK("https://klasma.github.io/Logging_1430/artfynd/A 24680-2021 artfynd.xlsx", "A 24680-2021")</f>
        <v/>
      </c>
      <c r="T304">
        <f>HYPERLINK("https://klasma.github.io/Logging_1430/kartor/A 24680-2021 karta.png", "A 24680-2021")</f>
        <v/>
      </c>
      <c r="V304">
        <f>HYPERLINK("https://klasma.github.io/Logging_1430/klagomål/A 24680-2021 FSC-klagomål.docx", "A 24680-2021")</f>
        <v/>
      </c>
      <c r="W304">
        <f>HYPERLINK("https://klasma.github.io/Logging_1430/klagomålsmail/A 24680-2021 FSC-klagomål mail.docx", "A 24680-2021")</f>
        <v/>
      </c>
      <c r="X304">
        <f>HYPERLINK("https://klasma.github.io/Logging_1430/tillsyn/A 24680-2021 tillsynsbegäran.docx", "A 24680-2021")</f>
        <v/>
      </c>
      <c r="Y304">
        <f>HYPERLINK("https://klasma.github.io/Logging_1430/tillsynsmail/A 24680-2021 tillsynsbegäran mail.docx", "A 24680-2021")</f>
        <v/>
      </c>
    </row>
    <row r="305" ht="15" customHeight="1">
      <c r="A305" t="inlineStr">
        <is>
          <t>A 29344-2021</t>
        </is>
      </c>
      <c r="B305" s="1" t="n">
        <v>44361</v>
      </c>
      <c r="C305" s="1" t="n">
        <v>45586</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29344-2021 artfynd.xlsx", "A 29344-2021")</f>
        <v/>
      </c>
      <c r="T305">
        <f>HYPERLINK("https://klasma.github.io/Logging_1430/kartor/A 29344-2021 karta.png", "A 29344-2021")</f>
        <v/>
      </c>
      <c r="V305">
        <f>HYPERLINK("https://klasma.github.io/Logging_1430/klagomål/A 29344-2021 FSC-klagomål.docx", "A 29344-2021")</f>
        <v/>
      </c>
      <c r="W305">
        <f>HYPERLINK("https://klasma.github.io/Logging_1430/klagomålsmail/A 29344-2021 FSC-klagomål mail.docx", "A 29344-2021")</f>
        <v/>
      </c>
      <c r="X305">
        <f>HYPERLINK("https://klasma.github.io/Logging_1430/tillsyn/A 29344-2021 tillsynsbegäran.docx", "A 29344-2021")</f>
        <v/>
      </c>
      <c r="Y305">
        <f>HYPERLINK("https://klasma.github.io/Logging_1430/tillsynsmail/A 29344-2021 tillsynsbegäran mail.docx", "A 29344-2021")</f>
        <v/>
      </c>
    </row>
    <row r="306" ht="15" customHeight="1">
      <c r="A306" t="inlineStr">
        <is>
          <t>A 31843-2021</t>
        </is>
      </c>
      <c r="B306" s="1" t="n">
        <v>44370</v>
      </c>
      <c r="C306" s="1" t="n">
        <v>45586</v>
      </c>
      <c r="D306" t="inlineStr">
        <is>
          <t>VÄSTRA GÖTALANDS LÄN</t>
        </is>
      </c>
      <c r="E306" t="inlineStr">
        <is>
          <t>BOLLEBYGD</t>
        </is>
      </c>
      <c r="G306" t="n">
        <v>5.4</v>
      </c>
      <c r="H306" t="n">
        <v>2</v>
      </c>
      <c r="I306" t="n">
        <v>0</v>
      </c>
      <c r="J306" t="n">
        <v>2</v>
      </c>
      <c r="K306" t="n">
        <v>0</v>
      </c>
      <c r="L306" t="n">
        <v>0</v>
      </c>
      <c r="M306" t="n">
        <v>0</v>
      </c>
      <c r="N306" t="n">
        <v>0</v>
      </c>
      <c r="O306" t="n">
        <v>2</v>
      </c>
      <c r="P306" t="n">
        <v>0</v>
      </c>
      <c r="Q306" t="n">
        <v>2</v>
      </c>
      <c r="R306" s="2" t="inlineStr">
        <is>
          <t>Spillkråka
Talltita</t>
        </is>
      </c>
      <c r="S306">
        <f>HYPERLINK("https://klasma.github.io/Logging_1443/artfynd/A 31843-2021 artfynd.xlsx", "A 31843-2021")</f>
        <v/>
      </c>
      <c r="T306">
        <f>HYPERLINK("https://klasma.github.io/Logging_1443/kartor/A 31843-2021 karta.png", "A 31843-2021")</f>
        <v/>
      </c>
      <c r="V306">
        <f>HYPERLINK("https://klasma.github.io/Logging_1443/klagomål/A 31843-2021 FSC-klagomål.docx", "A 31843-2021")</f>
        <v/>
      </c>
      <c r="W306">
        <f>HYPERLINK("https://klasma.github.io/Logging_1443/klagomålsmail/A 31843-2021 FSC-klagomål mail.docx", "A 31843-2021")</f>
        <v/>
      </c>
      <c r="X306">
        <f>HYPERLINK("https://klasma.github.io/Logging_1443/tillsyn/A 31843-2021 tillsynsbegäran.docx", "A 31843-2021")</f>
        <v/>
      </c>
      <c r="Y306">
        <f>HYPERLINK("https://klasma.github.io/Logging_1443/tillsynsmail/A 31843-2021 tillsynsbegäran mail.docx", "A 31843-2021")</f>
        <v/>
      </c>
      <c r="Z306">
        <f>HYPERLINK("https://klasma.github.io/Logging_1443/fåglar/A 31843-2021 prioriterade fågelarter.docx", "A 31843-2021")</f>
        <v/>
      </c>
    </row>
    <row r="307" ht="15" customHeight="1">
      <c r="A307" t="inlineStr">
        <is>
          <t>A 33273-2021</t>
        </is>
      </c>
      <c r="B307" s="1" t="n">
        <v>44377</v>
      </c>
      <c r="C307" s="1" t="n">
        <v>45586</v>
      </c>
      <c r="D307" t="inlineStr">
        <is>
          <t>VÄSTRA GÖTALANDS LÄN</t>
        </is>
      </c>
      <c r="E307" t="inlineStr">
        <is>
          <t>STRÖMSTAD</t>
        </is>
      </c>
      <c r="G307" t="n">
        <v>7.2</v>
      </c>
      <c r="H307" t="n">
        <v>1</v>
      </c>
      <c r="I307" t="n">
        <v>1</v>
      </c>
      <c r="J307" t="n">
        <v>0</v>
      </c>
      <c r="K307" t="n">
        <v>0</v>
      </c>
      <c r="L307" t="n">
        <v>0</v>
      </c>
      <c r="M307" t="n">
        <v>0</v>
      </c>
      <c r="N307" t="n">
        <v>0</v>
      </c>
      <c r="O307" t="n">
        <v>0</v>
      </c>
      <c r="P307" t="n">
        <v>0</v>
      </c>
      <c r="Q307" t="n">
        <v>2</v>
      </c>
      <c r="R307" s="2" t="inlineStr">
        <is>
          <t>Trådticka
Revlummer</t>
        </is>
      </c>
      <c r="S307">
        <f>HYPERLINK("https://klasma.github.io/Logging_1486/artfynd/A 33273-2021 artfynd.xlsx", "A 33273-2021")</f>
        <v/>
      </c>
      <c r="T307">
        <f>HYPERLINK("https://klasma.github.io/Logging_1486/kartor/A 33273-2021 karta.png", "A 33273-2021")</f>
        <v/>
      </c>
      <c r="V307">
        <f>HYPERLINK("https://klasma.github.io/Logging_1486/klagomål/A 33273-2021 FSC-klagomål.docx", "A 33273-2021")</f>
        <v/>
      </c>
      <c r="W307">
        <f>HYPERLINK("https://klasma.github.io/Logging_1486/klagomålsmail/A 33273-2021 FSC-klagomål mail.docx", "A 33273-2021")</f>
        <v/>
      </c>
      <c r="X307">
        <f>HYPERLINK("https://klasma.github.io/Logging_1486/tillsyn/A 33273-2021 tillsynsbegäran.docx", "A 33273-2021")</f>
        <v/>
      </c>
      <c r="Y307">
        <f>HYPERLINK("https://klasma.github.io/Logging_1486/tillsynsmail/A 33273-2021 tillsynsbegäran mail.docx", "A 33273-2021")</f>
        <v/>
      </c>
    </row>
    <row r="308" ht="15" customHeight="1">
      <c r="A308" t="inlineStr">
        <is>
          <t>A 33448-2021</t>
        </is>
      </c>
      <c r="B308" s="1" t="n">
        <v>44377</v>
      </c>
      <c r="C308" s="1" t="n">
        <v>45586</v>
      </c>
      <c r="D308" t="inlineStr">
        <is>
          <t>VÄSTRA GÖTALANDS LÄN</t>
        </is>
      </c>
      <c r="E308" t="inlineStr">
        <is>
          <t>KUNGÄLV</t>
        </is>
      </c>
      <c r="G308" t="n">
        <v>14.7</v>
      </c>
      <c r="H308" t="n">
        <v>1</v>
      </c>
      <c r="I308" t="n">
        <v>1</v>
      </c>
      <c r="J308" t="n">
        <v>0</v>
      </c>
      <c r="K308" t="n">
        <v>0</v>
      </c>
      <c r="L308" t="n">
        <v>0</v>
      </c>
      <c r="M308" t="n">
        <v>0</v>
      </c>
      <c r="N308" t="n">
        <v>0</v>
      </c>
      <c r="O308" t="n">
        <v>0</v>
      </c>
      <c r="P308" t="n">
        <v>0</v>
      </c>
      <c r="Q308" t="n">
        <v>2</v>
      </c>
      <c r="R308" s="2" t="inlineStr">
        <is>
          <t>Blåmossa
Mattlummer</t>
        </is>
      </c>
      <c r="S308">
        <f>HYPERLINK("https://klasma.github.io/Logging_1482/artfynd/A 33448-2021 artfynd.xlsx", "A 33448-2021")</f>
        <v/>
      </c>
      <c r="T308">
        <f>HYPERLINK("https://klasma.github.io/Logging_1482/kartor/A 33448-2021 karta.png", "A 33448-2021")</f>
        <v/>
      </c>
      <c r="V308">
        <f>HYPERLINK("https://klasma.github.io/Logging_1482/klagomål/A 33448-2021 FSC-klagomål.docx", "A 33448-2021")</f>
        <v/>
      </c>
      <c r="W308">
        <f>HYPERLINK("https://klasma.github.io/Logging_1482/klagomålsmail/A 33448-2021 FSC-klagomål mail.docx", "A 33448-2021")</f>
        <v/>
      </c>
      <c r="X308">
        <f>HYPERLINK("https://klasma.github.io/Logging_1482/tillsyn/A 33448-2021 tillsynsbegäran.docx", "A 33448-2021")</f>
        <v/>
      </c>
      <c r="Y308">
        <f>HYPERLINK("https://klasma.github.io/Logging_1482/tillsynsmail/A 33448-2021 tillsynsbegäran mail.docx", "A 33448-2021")</f>
        <v/>
      </c>
    </row>
    <row r="309" ht="15" customHeight="1">
      <c r="A309" t="inlineStr">
        <is>
          <t>A 33755-2021</t>
        </is>
      </c>
      <c r="B309" s="1" t="n">
        <v>44378</v>
      </c>
      <c r="C309" s="1" t="n">
        <v>45586</v>
      </c>
      <c r="D309" t="inlineStr">
        <is>
          <t>VÄSTRA GÖTALANDS LÄN</t>
        </is>
      </c>
      <c r="E309" t="inlineStr">
        <is>
          <t>VÄNERSBORG</t>
        </is>
      </c>
      <c r="F309" t="inlineStr">
        <is>
          <t>Sveaskog</t>
        </is>
      </c>
      <c r="G309" t="n">
        <v>13.8</v>
      </c>
      <c r="H309" t="n">
        <v>1</v>
      </c>
      <c r="I309" t="n">
        <v>1</v>
      </c>
      <c r="J309" t="n">
        <v>0</v>
      </c>
      <c r="K309" t="n">
        <v>0</v>
      </c>
      <c r="L309" t="n">
        <v>0</v>
      </c>
      <c r="M309" t="n">
        <v>0</v>
      </c>
      <c r="N309" t="n">
        <v>0</v>
      </c>
      <c r="O309" t="n">
        <v>0</v>
      </c>
      <c r="P309" t="n">
        <v>0</v>
      </c>
      <c r="Q309" t="n">
        <v>2</v>
      </c>
      <c r="R309" s="2" t="inlineStr">
        <is>
          <t>Blåmossa
Revlummer</t>
        </is>
      </c>
      <c r="S309">
        <f>HYPERLINK("https://klasma.github.io/Logging_1487/artfynd/A 33755-2021 artfynd.xlsx", "A 33755-2021")</f>
        <v/>
      </c>
      <c r="T309">
        <f>HYPERLINK("https://klasma.github.io/Logging_1487/kartor/A 33755-2021 karta.png", "A 33755-2021")</f>
        <v/>
      </c>
      <c r="V309">
        <f>HYPERLINK("https://klasma.github.io/Logging_1487/klagomål/A 33755-2021 FSC-klagomål.docx", "A 33755-2021")</f>
        <v/>
      </c>
      <c r="W309">
        <f>HYPERLINK("https://klasma.github.io/Logging_1487/klagomålsmail/A 33755-2021 FSC-klagomål mail.docx", "A 33755-2021")</f>
        <v/>
      </c>
      <c r="X309">
        <f>HYPERLINK("https://klasma.github.io/Logging_1487/tillsyn/A 33755-2021 tillsynsbegäran.docx", "A 33755-2021")</f>
        <v/>
      </c>
      <c r="Y309">
        <f>HYPERLINK("https://klasma.github.io/Logging_1487/tillsynsmail/A 33755-2021 tillsynsbegäran mail.docx", "A 33755-2021")</f>
        <v/>
      </c>
    </row>
    <row r="310" ht="15" customHeight="1">
      <c r="A310" t="inlineStr">
        <is>
          <t>A 37138-2021</t>
        </is>
      </c>
      <c r="B310" s="1" t="n">
        <v>44396</v>
      </c>
      <c r="C310" s="1" t="n">
        <v>45586</v>
      </c>
      <c r="D310" t="inlineStr">
        <is>
          <t>VÄSTRA GÖTALANDS LÄN</t>
        </is>
      </c>
      <c r="E310" t="inlineStr">
        <is>
          <t>GULLSPÅNG</t>
        </is>
      </c>
      <c r="G310" t="n">
        <v>4.3</v>
      </c>
      <c r="H310" t="n">
        <v>0</v>
      </c>
      <c r="I310" t="n">
        <v>0</v>
      </c>
      <c r="J310" t="n">
        <v>2</v>
      </c>
      <c r="K310" t="n">
        <v>0</v>
      </c>
      <c r="L310" t="n">
        <v>0</v>
      </c>
      <c r="M310" t="n">
        <v>0</v>
      </c>
      <c r="N310" t="n">
        <v>0</v>
      </c>
      <c r="O310" t="n">
        <v>2</v>
      </c>
      <c r="P310" t="n">
        <v>0</v>
      </c>
      <c r="Q310" t="n">
        <v>2</v>
      </c>
      <c r="R310" s="2" t="inlineStr">
        <is>
          <t>Grantaggsvamp
Persiljespindling</t>
        </is>
      </c>
      <c r="S310">
        <f>HYPERLINK("https://klasma.github.io/Logging_1447/artfynd/A 37138-2021 artfynd.xlsx", "A 37138-2021")</f>
        <v/>
      </c>
      <c r="T310">
        <f>HYPERLINK("https://klasma.github.io/Logging_1447/kartor/A 37138-2021 karta.png", "A 37138-2021")</f>
        <v/>
      </c>
      <c r="V310">
        <f>HYPERLINK("https://klasma.github.io/Logging_1447/klagomål/A 37138-2021 FSC-klagomål.docx", "A 37138-2021")</f>
        <v/>
      </c>
      <c r="W310">
        <f>HYPERLINK("https://klasma.github.io/Logging_1447/klagomålsmail/A 37138-2021 FSC-klagomål mail.docx", "A 37138-2021")</f>
        <v/>
      </c>
      <c r="X310">
        <f>HYPERLINK("https://klasma.github.io/Logging_1447/tillsyn/A 37138-2021 tillsynsbegäran.docx", "A 37138-2021")</f>
        <v/>
      </c>
      <c r="Y310">
        <f>HYPERLINK("https://klasma.github.io/Logging_1447/tillsynsmail/A 37138-2021 tillsynsbegäran mail.docx", "A 37138-2021")</f>
        <v/>
      </c>
    </row>
    <row r="311" ht="15" customHeight="1">
      <c r="A311" t="inlineStr">
        <is>
          <t>A 39460-2021</t>
        </is>
      </c>
      <c r="B311" s="1" t="n">
        <v>44414</v>
      </c>
      <c r="C311" s="1" t="n">
        <v>45586</v>
      </c>
      <c r="D311" t="inlineStr">
        <is>
          <t>VÄSTRA GÖTALANDS LÄN</t>
        </is>
      </c>
      <c r="E311" t="inlineStr">
        <is>
          <t>TROLLHÄTTAN</t>
        </is>
      </c>
      <c r="G311" t="n">
        <v>8.800000000000001</v>
      </c>
      <c r="H311" t="n">
        <v>2</v>
      </c>
      <c r="I311" t="n">
        <v>0</v>
      </c>
      <c r="J311" t="n">
        <v>0</v>
      </c>
      <c r="K311" t="n">
        <v>0</v>
      </c>
      <c r="L311" t="n">
        <v>0</v>
      </c>
      <c r="M311" t="n">
        <v>0</v>
      </c>
      <c r="N311" t="n">
        <v>0</v>
      </c>
      <c r="O311" t="n">
        <v>0</v>
      </c>
      <c r="P311" t="n">
        <v>0</v>
      </c>
      <c r="Q311" t="n">
        <v>2</v>
      </c>
      <c r="R311" s="2" t="inlineStr">
        <is>
          <t>Lopplummer
Mattlummer</t>
        </is>
      </c>
      <c r="S311">
        <f>HYPERLINK("https://klasma.github.io/Logging_1488/artfynd/A 39460-2021 artfynd.xlsx", "A 39460-2021")</f>
        <v/>
      </c>
      <c r="T311">
        <f>HYPERLINK("https://klasma.github.io/Logging_1488/kartor/A 39460-2021 karta.png", "A 39460-2021")</f>
        <v/>
      </c>
      <c r="V311">
        <f>HYPERLINK("https://klasma.github.io/Logging_1488/klagomål/A 39460-2021 FSC-klagomål.docx", "A 39460-2021")</f>
        <v/>
      </c>
      <c r="W311">
        <f>HYPERLINK("https://klasma.github.io/Logging_1488/klagomålsmail/A 39460-2021 FSC-klagomål mail.docx", "A 39460-2021")</f>
        <v/>
      </c>
      <c r="X311">
        <f>HYPERLINK("https://klasma.github.io/Logging_1488/tillsyn/A 39460-2021 tillsynsbegäran.docx", "A 39460-2021")</f>
        <v/>
      </c>
      <c r="Y311">
        <f>HYPERLINK("https://klasma.github.io/Logging_1488/tillsynsmail/A 39460-2021 tillsynsbegäran mail.docx", "A 39460-2021")</f>
        <v/>
      </c>
    </row>
    <row r="312" ht="15" customHeight="1">
      <c r="A312" t="inlineStr">
        <is>
          <t>A 40067-2021</t>
        </is>
      </c>
      <c r="B312" s="1" t="n">
        <v>44418</v>
      </c>
      <c r="C312" s="1" t="n">
        <v>45586</v>
      </c>
      <c r="D312" t="inlineStr">
        <is>
          <t>VÄSTRA GÖTALANDS LÄN</t>
        </is>
      </c>
      <c r="E312" t="inlineStr">
        <is>
          <t>FALKÖPING</t>
        </is>
      </c>
      <c r="G312" t="n">
        <v>3.8</v>
      </c>
      <c r="H312" t="n">
        <v>1</v>
      </c>
      <c r="I312" t="n">
        <v>0</v>
      </c>
      <c r="J312" t="n">
        <v>1</v>
      </c>
      <c r="K312" t="n">
        <v>1</v>
      </c>
      <c r="L312" t="n">
        <v>0</v>
      </c>
      <c r="M312" t="n">
        <v>0</v>
      </c>
      <c r="N312" t="n">
        <v>0</v>
      </c>
      <c r="O312" t="n">
        <v>2</v>
      </c>
      <c r="P312" t="n">
        <v>1</v>
      </c>
      <c r="Q312" t="n">
        <v>2</v>
      </c>
      <c r="R312" s="2" t="inlineStr">
        <is>
          <t>Backsippa
Sandviol</t>
        </is>
      </c>
      <c r="S312">
        <f>HYPERLINK("https://klasma.github.io/Logging_1499/artfynd/A 40067-2021 artfynd.xlsx", "A 40067-2021")</f>
        <v/>
      </c>
      <c r="T312">
        <f>HYPERLINK("https://klasma.github.io/Logging_1499/kartor/A 40067-2021 karta.png", "A 40067-2021")</f>
        <v/>
      </c>
      <c r="V312">
        <f>HYPERLINK("https://klasma.github.io/Logging_1499/klagomål/A 40067-2021 FSC-klagomål.docx", "A 40067-2021")</f>
        <v/>
      </c>
      <c r="W312">
        <f>HYPERLINK("https://klasma.github.io/Logging_1499/klagomålsmail/A 40067-2021 FSC-klagomål mail.docx", "A 40067-2021")</f>
        <v/>
      </c>
      <c r="X312">
        <f>HYPERLINK("https://klasma.github.io/Logging_1499/tillsyn/A 40067-2021 tillsynsbegäran.docx", "A 40067-2021")</f>
        <v/>
      </c>
      <c r="Y312">
        <f>HYPERLINK("https://klasma.github.io/Logging_1499/tillsynsmail/A 40067-2021 tillsynsbegäran mail.docx", "A 40067-2021")</f>
        <v/>
      </c>
    </row>
    <row r="313" ht="15" customHeight="1">
      <c r="A313" t="inlineStr">
        <is>
          <t>A 44564-2021</t>
        </is>
      </c>
      <c r="B313" s="1" t="n">
        <v>44435</v>
      </c>
      <c r="C313" s="1" t="n">
        <v>45586</v>
      </c>
      <c r="D313" t="inlineStr">
        <is>
          <t>VÄSTRA GÖTALANDS LÄN</t>
        </is>
      </c>
      <c r="E313" t="inlineStr">
        <is>
          <t>FÄRGELANDA</t>
        </is>
      </c>
      <c r="G313" t="n">
        <v>7.4</v>
      </c>
      <c r="H313" t="n">
        <v>0</v>
      </c>
      <c r="I313" t="n">
        <v>1</v>
      </c>
      <c r="J313" t="n">
        <v>0</v>
      </c>
      <c r="K313" t="n">
        <v>1</v>
      </c>
      <c r="L313" t="n">
        <v>0</v>
      </c>
      <c r="M313" t="n">
        <v>0</v>
      </c>
      <c r="N313" t="n">
        <v>0</v>
      </c>
      <c r="O313" t="n">
        <v>1</v>
      </c>
      <c r="P313" t="n">
        <v>1</v>
      </c>
      <c r="Q313" t="n">
        <v>2</v>
      </c>
      <c r="R313" s="2" t="inlineStr">
        <is>
          <t>Kvällsmaskros
Bårdlav</t>
        </is>
      </c>
      <c r="S313">
        <f>HYPERLINK("https://klasma.github.io/Logging_1439/artfynd/A 44564-2021 artfynd.xlsx", "A 44564-2021")</f>
        <v/>
      </c>
      <c r="T313">
        <f>HYPERLINK("https://klasma.github.io/Logging_1439/kartor/A 44564-2021 karta.png", "A 44564-2021")</f>
        <v/>
      </c>
      <c r="V313">
        <f>HYPERLINK("https://klasma.github.io/Logging_1439/klagomål/A 44564-2021 FSC-klagomål.docx", "A 44564-2021")</f>
        <v/>
      </c>
      <c r="W313">
        <f>HYPERLINK("https://klasma.github.io/Logging_1439/klagomålsmail/A 44564-2021 FSC-klagomål mail.docx", "A 44564-2021")</f>
        <v/>
      </c>
      <c r="X313">
        <f>HYPERLINK("https://klasma.github.io/Logging_1439/tillsyn/A 44564-2021 tillsynsbegäran.docx", "A 44564-2021")</f>
        <v/>
      </c>
      <c r="Y313">
        <f>HYPERLINK("https://klasma.github.io/Logging_1439/tillsynsmail/A 44564-2021 tillsynsbegäran mail.docx", "A 44564-2021")</f>
        <v/>
      </c>
    </row>
    <row r="314" ht="15" customHeight="1">
      <c r="A314" t="inlineStr">
        <is>
          <t>A 47429-2021</t>
        </is>
      </c>
      <c r="B314" s="1" t="n">
        <v>44447</v>
      </c>
      <c r="C314" s="1" t="n">
        <v>45586</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Svart trolldruva
Tibast</t>
        </is>
      </c>
      <c r="S314">
        <f>HYPERLINK("https://klasma.github.io/Logging_1496/artfynd/A 47429-2021 artfynd.xlsx", "A 47429-2021")</f>
        <v/>
      </c>
      <c r="T314">
        <f>HYPERLINK("https://klasma.github.io/Logging_1496/kartor/A 47429-2021 karta.png", "A 47429-2021")</f>
        <v/>
      </c>
      <c r="V314">
        <f>HYPERLINK("https://klasma.github.io/Logging_1496/klagomål/A 47429-2021 FSC-klagomål.docx", "A 47429-2021")</f>
        <v/>
      </c>
      <c r="W314">
        <f>HYPERLINK("https://klasma.github.io/Logging_1496/klagomålsmail/A 47429-2021 FSC-klagomål mail.docx", "A 47429-2021")</f>
        <v/>
      </c>
      <c r="X314">
        <f>HYPERLINK("https://klasma.github.io/Logging_1496/tillsyn/A 47429-2021 tillsynsbegäran.docx", "A 47429-2021")</f>
        <v/>
      </c>
      <c r="Y314">
        <f>HYPERLINK("https://klasma.github.io/Logging_1496/tillsynsmail/A 47429-2021 tillsynsbegäran mail.docx", "A 47429-2021")</f>
        <v/>
      </c>
    </row>
    <row r="315" ht="15" customHeight="1">
      <c r="A315" t="inlineStr">
        <is>
          <t>A 48345-2021</t>
        </is>
      </c>
      <c r="B315" s="1" t="n">
        <v>44451</v>
      </c>
      <c r="C315" s="1" t="n">
        <v>45586</v>
      </c>
      <c r="D315" t="inlineStr">
        <is>
          <t>VÄSTRA GÖTALANDS LÄN</t>
        </is>
      </c>
      <c r="E315" t="inlineStr">
        <is>
          <t>KUNGÄLV</t>
        </is>
      </c>
      <c r="G315" t="n">
        <v>3.8</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48666-2021</t>
        </is>
      </c>
      <c r="B316" s="1" t="n">
        <v>44452</v>
      </c>
      <c r="C316" s="1" t="n">
        <v>45586</v>
      </c>
      <c r="D316" t="inlineStr">
        <is>
          <t>VÄSTRA GÖTALANDS LÄN</t>
        </is>
      </c>
      <c r="E316" t="inlineStr">
        <is>
          <t>STENUNGSUND</t>
        </is>
      </c>
      <c r="G316" t="n">
        <v>6.9</v>
      </c>
      <c r="H316" t="n">
        <v>1</v>
      </c>
      <c r="I316" t="n">
        <v>0</v>
      </c>
      <c r="J316" t="n">
        <v>1</v>
      </c>
      <c r="K316" t="n">
        <v>1</v>
      </c>
      <c r="L316" t="n">
        <v>0</v>
      </c>
      <c r="M316" t="n">
        <v>0</v>
      </c>
      <c r="N316" t="n">
        <v>0</v>
      </c>
      <c r="O316" t="n">
        <v>2</v>
      </c>
      <c r="P316" t="n">
        <v>1</v>
      </c>
      <c r="Q316" t="n">
        <v>2</v>
      </c>
      <c r="R316" s="2" t="inlineStr">
        <is>
          <t>Hedjohannesört
Bergjohannesört</t>
        </is>
      </c>
      <c r="S316">
        <f>HYPERLINK("https://klasma.github.io/Logging_1415/artfynd/A 48666-2021 artfynd.xlsx", "A 48666-2021")</f>
        <v/>
      </c>
      <c r="T316">
        <f>HYPERLINK("https://klasma.github.io/Logging_1415/kartor/A 48666-2021 karta.png", "A 48666-2021")</f>
        <v/>
      </c>
      <c r="V316">
        <f>HYPERLINK("https://klasma.github.io/Logging_1415/klagomål/A 48666-2021 FSC-klagomål.docx", "A 48666-2021")</f>
        <v/>
      </c>
      <c r="W316">
        <f>HYPERLINK("https://klasma.github.io/Logging_1415/klagomålsmail/A 48666-2021 FSC-klagomål mail.docx", "A 48666-2021")</f>
        <v/>
      </c>
      <c r="X316">
        <f>HYPERLINK("https://klasma.github.io/Logging_1415/tillsyn/A 48666-2021 tillsynsbegäran.docx", "A 48666-2021")</f>
        <v/>
      </c>
      <c r="Y316">
        <f>HYPERLINK("https://klasma.github.io/Logging_1415/tillsynsmail/A 48666-2021 tillsynsbegäran mail.docx", "A 48666-2021")</f>
        <v/>
      </c>
    </row>
    <row r="317" ht="15" customHeight="1">
      <c r="A317" t="inlineStr">
        <is>
          <t>A 55712-2021</t>
        </is>
      </c>
      <c r="B317" s="1" t="n">
        <v>44476</v>
      </c>
      <c r="C317" s="1" t="n">
        <v>45586</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57572-2021</t>
        </is>
      </c>
      <c r="B318" s="1" t="n">
        <v>44482</v>
      </c>
      <c r="C318" s="1" t="n">
        <v>45586</v>
      </c>
      <c r="D318" t="inlineStr">
        <is>
          <t>VÄSTRA GÖTALANDS LÄN</t>
        </is>
      </c>
      <c r="E318" t="inlineStr">
        <is>
          <t>MARK</t>
        </is>
      </c>
      <c r="G318" t="n">
        <v>8</v>
      </c>
      <c r="H318" t="n">
        <v>1</v>
      </c>
      <c r="I318" t="n">
        <v>0</v>
      </c>
      <c r="J318" t="n">
        <v>1</v>
      </c>
      <c r="K318" t="n">
        <v>1</v>
      </c>
      <c r="L318" t="n">
        <v>0</v>
      </c>
      <c r="M318" t="n">
        <v>0</v>
      </c>
      <c r="N318" t="n">
        <v>0</v>
      </c>
      <c r="O318" t="n">
        <v>2</v>
      </c>
      <c r="P318" t="n">
        <v>1</v>
      </c>
      <c r="Q318" t="n">
        <v>2</v>
      </c>
      <c r="R318" s="2" t="inlineStr">
        <is>
          <t>Knärot
Sexfläckig bastardsvärmare</t>
        </is>
      </c>
      <c r="S318">
        <f>HYPERLINK("https://klasma.github.io/Logging_1463/artfynd/A 57572-2021 artfynd.xlsx", "A 57572-2021")</f>
        <v/>
      </c>
      <c r="T318">
        <f>HYPERLINK("https://klasma.github.io/Logging_1463/kartor/A 57572-2021 karta.png", "A 57572-2021")</f>
        <v/>
      </c>
      <c r="U318">
        <f>HYPERLINK("https://klasma.github.io/Logging_1463/knärot/A 57572-2021 karta knärot.png", "A 57572-2021")</f>
        <v/>
      </c>
      <c r="V318">
        <f>HYPERLINK("https://klasma.github.io/Logging_1463/klagomål/A 57572-2021 FSC-klagomål.docx", "A 57572-2021")</f>
        <v/>
      </c>
      <c r="W318">
        <f>HYPERLINK("https://klasma.github.io/Logging_1463/klagomålsmail/A 57572-2021 FSC-klagomål mail.docx", "A 57572-2021")</f>
        <v/>
      </c>
      <c r="X318">
        <f>HYPERLINK("https://klasma.github.io/Logging_1463/tillsyn/A 57572-2021 tillsynsbegäran.docx", "A 57572-2021")</f>
        <v/>
      </c>
      <c r="Y318">
        <f>HYPERLINK("https://klasma.github.io/Logging_1463/tillsynsmail/A 57572-2021 tillsynsbegäran mail.docx", "A 57572-2021")</f>
        <v/>
      </c>
    </row>
    <row r="319" ht="15" customHeight="1">
      <c r="A319" t="inlineStr">
        <is>
          <t>A 57791-2021</t>
        </is>
      </c>
      <c r="B319" s="1" t="n">
        <v>44484</v>
      </c>
      <c r="C319" s="1" t="n">
        <v>45586</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64023-2021</t>
        </is>
      </c>
      <c r="B320" s="1" t="n">
        <v>44508</v>
      </c>
      <c r="C320" s="1" t="n">
        <v>45586</v>
      </c>
      <c r="D320" t="inlineStr">
        <is>
          <t>VÄSTRA GÖTALANDS LÄN</t>
        </is>
      </c>
      <c r="E320" t="inlineStr">
        <is>
          <t>SKÖVDE</t>
        </is>
      </c>
      <c r="G320" t="n">
        <v>2.2</v>
      </c>
      <c r="H320" t="n">
        <v>2</v>
      </c>
      <c r="I320" t="n">
        <v>1</v>
      </c>
      <c r="J320" t="n">
        <v>0</v>
      </c>
      <c r="K320" t="n">
        <v>0</v>
      </c>
      <c r="L320" t="n">
        <v>0</v>
      </c>
      <c r="M320" t="n">
        <v>0</v>
      </c>
      <c r="N320" t="n">
        <v>0</v>
      </c>
      <c r="O320" t="n">
        <v>0</v>
      </c>
      <c r="P320" t="n">
        <v>0</v>
      </c>
      <c r="Q320" t="n">
        <v>2</v>
      </c>
      <c r="R320" s="2" t="inlineStr">
        <is>
          <t>Korallrot
Revlummer</t>
        </is>
      </c>
      <c r="S320">
        <f>HYPERLINK("https://klasma.github.io/Logging_1496/artfynd/A 64023-2021 artfynd.xlsx", "A 64023-2021")</f>
        <v/>
      </c>
      <c r="T320">
        <f>HYPERLINK("https://klasma.github.io/Logging_1496/kartor/A 64023-2021 karta.png", "A 64023-2021")</f>
        <v/>
      </c>
      <c r="V320">
        <f>HYPERLINK("https://klasma.github.io/Logging_1496/klagomål/A 64023-2021 FSC-klagomål.docx", "A 64023-2021")</f>
        <v/>
      </c>
      <c r="W320">
        <f>HYPERLINK("https://klasma.github.io/Logging_1496/klagomålsmail/A 64023-2021 FSC-klagomål mail.docx", "A 64023-2021")</f>
        <v/>
      </c>
      <c r="X320">
        <f>HYPERLINK("https://klasma.github.io/Logging_1496/tillsyn/A 64023-2021 tillsynsbegäran.docx", "A 64023-2021")</f>
        <v/>
      </c>
      <c r="Y320">
        <f>HYPERLINK("https://klasma.github.io/Logging_1496/tillsynsmail/A 64023-2021 tillsynsbegäran mail.docx", "A 64023-2021")</f>
        <v/>
      </c>
    </row>
    <row r="321" ht="15" customHeight="1">
      <c r="A321" t="inlineStr">
        <is>
          <t>A 66731-2021</t>
        </is>
      </c>
      <c r="B321" s="1" t="n">
        <v>44520</v>
      </c>
      <c r="C321" s="1" t="n">
        <v>45586</v>
      </c>
      <c r="D321" t="inlineStr">
        <is>
          <t>VÄSTRA GÖTALANDS LÄN</t>
        </is>
      </c>
      <c r="E321" t="inlineStr">
        <is>
          <t>ULRICEHAMN</t>
        </is>
      </c>
      <c r="F321" t="inlineStr">
        <is>
          <t>Sveaskog</t>
        </is>
      </c>
      <c r="G321" t="n">
        <v>6.8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66731-2021 artfynd.xlsx", "A 66731-2021")</f>
        <v/>
      </c>
      <c r="T321">
        <f>HYPERLINK("https://klasma.github.io/Logging_1491/kartor/A 66731-2021 karta.png", "A 66731-2021")</f>
        <v/>
      </c>
      <c r="V321">
        <f>HYPERLINK("https://klasma.github.io/Logging_1491/klagomål/A 66731-2021 FSC-klagomål.docx", "A 66731-2021")</f>
        <v/>
      </c>
      <c r="W321">
        <f>HYPERLINK("https://klasma.github.io/Logging_1491/klagomålsmail/A 66731-2021 FSC-klagomål mail.docx", "A 66731-2021")</f>
        <v/>
      </c>
      <c r="X321">
        <f>HYPERLINK("https://klasma.github.io/Logging_1491/tillsyn/A 66731-2021 tillsynsbegäran.docx", "A 66731-2021")</f>
        <v/>
      </c>
      <c r="Y321">
        <f>HYPERLINK("https://klasma.github.io/Logging_1491/tillsynsmail/A 66731-2021 tillsynsbegäran mail.docx", "A 66731-2021")</f>
        <v/>
      </c>
    </row>
    <row r="322" ht="15" customHeight="1">
      <c r="A322" t="inlineStr">
        <is>
          <t>A 67507-2021</t>
        </is>
      </c>
      <c r="B322" s="1" t="n">
        <v>44524</v>
      </c>
      <c r="C322" s="1" t="n">
        <v>45586</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828-2022</t>
        </is>
      </c>
      <c r="B323" s="1" t="n">
        <v>44563</v>
      </c>
      <c r="C323" s="1" t="n">
        <v>45586</v>
      </c>
      <c r="D323" t="inlineStr">
        <is>
          <t>VÄSTRA GÖTALANDS LÄN</t>
        </is>
      </c>
      <c r="E323" t="inlineStr">
        <is>
          <t>MUNKEDAL</t>
        </is>
      </c>
      <c r="G323" t="n">
        <v>2.3</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828-2022 artfynd.xlsx", "A 828-2022")</f>
        <v/>
      </c>
      <c r="T323">
        <f>HYPERLINK("https://klasma.github.io/Logging_1430/kartor/A 828-2022 karta.png", "A 828-2022")</f>
        <v/>
      </c>
      <c r="V323">
        <f>HYPERLINK("https://klasma.github.io/Logging_1430/klagomål/A 828-2022 FSC-klagomål.docx", "A 828-2022")</f>
        <v/>
      </c>
      <c r="W323">
        <f>HYPERLINK("https://klasma.github.io/Logging_1430/klagomålsmail/A 828-2022 FSC-klagomål mail.docx", "A 828-2022")</f>
        <v/>
      </c>
      <c r="X323">
        <f>HYPERLINK("https://klasma.github.io/Logging_1430/tillsyn/A 828-2022 tillsynsbegäran.docx", "A 828-2022")</f>
        <v/>
      </c>
      <c r="Y323">
        <f>HYPERLINK("https://klasma.github.io/Logging_1430/tillsynsmail/A 828-2022 tillsynsbegäran mail.docx", "A 828-2022")</f>
        <v/>
      </c>
      <c r="Z323">
        <f>HYPERLINK("https://klasma.github.io/Logging_1430/fåglar/A 828-2022 prioriterade fågelarter.docx", "A 828-2022")</f>
        <v/>
      </c>
    </row>
    <row r="324" ht="15" customHeight="1">
      <c r="A324" t="inlineStr">
        <is>
          <t>A 3495-2022</t>
        </is>
      </c>
      <c r="B324" s="1" t="n">
        <v>44585</v>
      </c>
      <c r="C324" s="1" t="n">
        <v>45586</v>
      </c>
      <c r="D324" t="inlineStr">
        <is>
          <t>VÄSTRA GÖTALANDS LÄN</t>
        </is>
      </c>
      <c r="E324" t="inlineStr">
        <is>
          <t>ULRICEHAMN</t>
        </is>
      </c>
      <c r="G324" t="n">
        <v>8</v>
      </c>
      <c r="H324" t="n">
        <v>0</v>
      </c>
      <c r="I324" t="n">
        <v>2</v>
      </c>
      <c r="J324" t="n">
        <v>0</v>
      </c>
      <c r="K324" t="n">
        <v>0</v>
      </c>
      <c r="L324" t="n">
        <v>0</v>
      </c>
      <c r="M324" t="n">
        <v>0</v>
      </c>
      <c r="N324" t="n">
        <v>0</v>
      </c>
      <c r="O324" t="n">
        <v>0</v>
      </c>
      <c r="P324" t="n">
        <v>0</v>
      </c>
      <c r="Q324" t="n">
        <v>2</v>
      </c>
      <c r="R324" s="2" t="inlineStr">
        <is>
          <t>Fällmossa
Guldlockmossa</t>
        </is>
      </c>
      <c r="S324">
        <f>HYPERLINK("https://klasma.github.io/Logging_1491/artfynd/A 3495-2022 artfynd.xlsx", "A 3495-2022")</f>
        <v/>
      </c>
      <c r="T324">
        <f>HYPERLINK("https://klasma.github.io/Logging_1491/kartor/A 3495-2022 karta.png", "A 3495-2022")</f>
        <v/>
      </c>
      <c r="V324">
        <f>HYPERLINK("https://klasma.github.io/Logging_1491/klagomål/A 3495-2022 FSC-klagomål.docx", "A 3495-2022")</f>
        <v/>
      </c>
      <c r="W324">
        <f>HYPERLINK("https://klasma.github.io/Logging_1491/klagomålsmail/A 3495-2022 FSC-klagomål mail.docx", "A 3495-2022")</f>
        <v/>
      </c>
      <c r="X324">
        <f>HYPERLINK("https://klasma.github.io/Logging_1491/tillsyn/A 3495-2022 tillsynsbegäran.docx", "A 3495-2022")</f>
        <v/>
      </c>
      <c r="Y324">
        <f>HYPERLINK("https://klasma.github.io/Logging_1491/tillsynsmail/A 3495-2022 tillsynsbegäran mail.docx", "A 3495-2022")</f>
        <v/>
      </c>
    </row>
    <row r="325" ht="15" customHeight="1">
      <c r="A325" t="inlineStr">
        <is>
          <t>A 4173-2022</t>
        </is>
      </c>
      <c r="B325" s="1" t="n">
        <v>44588</v>
      </c>
      <c r="C325" s="1" t="n">
        <v>45586</v>
      </c>
      <c r="D325" t="inlineStr">
        <is>
          <t>VÄSTRA GÖTALANDS LÄN</t>
        </is>
      </c>
      <c r="E325" t="inlineStr">
        <is>
          <t>STRÖMSTAD</t>
        </is>
      </c>
      <c r="G325" t="n">
        <v>2.8</v>
      </c>
      <c r="H325" t="n">
        <v>2</v>
      </c>
      <c r="I325" t="n">
        <v>0</v>
      </c>
      <c r="J325" t="n">
        <v>1</v>
      </c>
      <c r="K325" t="n">
        <v>0</v>
      </c>
      <c r="L325" t="n">
        <v>0</v>
      </c>
      <c r="M325" t="n">
        <v>0</v>
      </c>
      <c r="N325" t="n">
        <v>0</v>
      </c>
      <c r="O325" t="n">
        <v>1</v>
      </c>
      <c r="P325" t="n">
        <v>0</v>
      </c>
      <c r="Q325" t="n">
        <v>2</v>
      </c>
      <c r="R325" s="2" t="inlineStr">
        <is>
          <t>Spillkråka
Revlummer</t>
        </is>
      </c>
      <c r="S325">
        <f>HYPERLINK("https://klasma.github.io/Logging_1486/artfynd/A 4173-2022 artfynd.xlsx", "A 4173-2022")</f>
        <v/>
      </c>
      <c r="T325">
        <f>HYPERLINK("https://klasma.github.io/Logging_1486/kartor/A 4173-2022 karta.png", "A 4173-2022")</f>
        <v/>
      </c>
      <c r="V325">
        <f>HYPERLINK("https://klasma.github.io/Logging_1486/klagomål/A 4173-2022 FSC-klagomål.docx", "A 4173-2022")</f>
        <v/>
      </c>
      <c r="W325">
        <f>HYPERLINK("https://klasma.github.io/Logging_1486/klagomålsmail/A 4173-2022 FSC-klagomål mail.docx", "A 4173-2022")</f>
        <v/>
      </c>
      <c r="X325">
        <f>HYPERLINK("https://klasma.github.io/Logging_1486/tillsyn/A 4173-2022 tillsynsbegäran.docx", "A 4173-2022")</f>
        <v/>
      </c>
      <c r="Y325">
        <f>HYPERLINK("https://klasma.github.io/Logging_1486/tillsynsmail/A 4173-2022 tillsynsbegäran mail.docx", "A 4173-2022")</f>
        <v/>
      </c>
      <c r="Z325">
        <f>HYPERLINK("https://klasma.github.io/Logging_1486/fåglar/A 4173-2022 prioriterade fågelarter.docx", "A 4173-2022")</f>
        <v/>
      </c>
    </row>
    <row r="326" ht="15" customHeight="1">
      <c r="A326" t="inlineStr">
        <is>
          <t>A 6378-2022</t>
        </is>
      </c>
      <c r="B326" s="1" t="n">
        <v>44600</v>
      </c>
      <c r="C326" s="1" t="n">
        <v>45586</v>
      </c>
      <c r="D326" t="inlineStr">
        <is>
          <t>VÄSTRA GÖTALANDS LÄN</t>
        </is>
      </c>
      <c r="E326" t="inlineStr">
        <is>
          <t>DALS-ED</t>
        </is>
      </c>
      <c r="F326" t="inlineStr">
        <is>
          <t>Kyrkan</t>
        </is>
      </c>
      <c r="G326" t="n">
        <v>9</v>
      </c>
      <c r="H326" t="n">
        <v>2</v>
      </c>
      <c r="I326" t="n">
        <v>0</v>
      </c>
      <c r="J326" t="n">
        <v>0</v>
      </c>
      <c r="K326" t="n">
        <v>1</v>
      </c>
      <c r="L326" t="n">
        <v>0</v>
      </c>
      <c r="M326" t="n">
        <v>0</v>
      </c>
      <c r="N326" t="n">
        <v>0</v>
      </c>
      <c r="O326" t="n">
        <v>1</v>
      </c>
      <c r="P326" t="n">
        <v>1</v>
      </c>
      <c r="Q326" t="n">
        <v>2</v>
      </c>
      <c r="R326" s="2" t="inlineStr">
        <is>
          <t>Knärot
Blåsippa</t>
        </is>
      </c>
      <c r="S326">
        <f>HYPERLINK("https://klasma.github.io/Logging_1438/artfynd/A 6378-2022 artfynd.xlsx", "A 6378-2022")</f>
        <v/>
      </c>
      <c r="T326">
        <f>HYPERLINK("https://klasma.github.io/Logging_1438/kartor/A 6378-2022 karta.png", "A 6378-2022")</f>
        <v/>
      </c>
      <c r="U326">
        <f>HYPERLINK("https://klasma.github.io/Logging_1438/knärot/A 6378-2022 karta knärot.png", "A 6378-2022")</f>
        <v/>
      </c>
      <c r="V326">
        <f>HYPERLINK("https://klasma.github.io/Logging_1438/klagomål/A 6378-2022 FSC-klagomål.docx", "A 6378-2022")</f>
        <v/>
      </c>
      <c r="W326">
        <f>HYPERLINK("https://klasma.github.io/Logging_1438/klagomålsmail/A 6378-2022 FSC-klagomål mail.docx", "A 6378-2022")</f>
        <v/>
      </c>
      <c r="X326">
        <f>HYPERLINK("https://klasma.github.io/Logging_1438/tillsyn/A 6378-2022 tillsynsbegäran.docx", "A 6378-2022")</f>
        <v/>
      </c>
      <c r="Y326">
        <f>HYPERLINK("https://klasma.github.io/Logging_1438/tillsynsmail/A 6378-2022 tillsynsbegäran mail.docx", "A 6378-2022")</f>
        <v/>
      </c>
    </row>
    <row r="327" ht="15" customHeight="1">
      <c r="A327" t="inlineStr">
        <is>
          <t>A 6454-2022</t>
        </is>
      </c>
      <c r="B327" s="1" t="n">
        <v>44601</v>
      </c>
      <c r="C327" s="1" t="n">
        <v>45586</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7823-2022</t>
        </is>
      </c>
      <c r="B328" s="1" t="n">
        <v>44608</v>
      </c>
      <c r="C328" s="1" t="n">
        <v>45586</v>
      </c>
      <c r="D328" t="inlineStr">
        <is>
          <t>VÄSTRA GÖTALANDS LÄN</t>
        </is>
      </c>
      <c r="E328" t="inlineStr">
        <is>
          <t>TÖREBODA</t>
        </is>
      </c>
      <c r="G328" t="n">
        <v>21.5</v>
      </c>
      <c r="H328" t="n">
        <v>2</v>
      </c>
      <c r="I328" t="n">
        <v>0</v>
      </c>
      <c r="J328" t="n">
        <v>0</v>
      </c>
      <c r="K328" t="n">
        <v>0</v>
      </c>
      <c r="L328" t="n">
        <v>0</v>
      </c>
      <c r="M328" t="n">
        <v>0</v>
      </c>
      <c r="N328" t="n">
        <v>0</v>
      </c>
      <c r="O328" t="n">
        <v>0</v>
      </c>
      <c r="P328" t="n">
        <v>0</v>
      </c>
      <c r="Q328" t="n">
        <v>2</v>
      </c>
      <c r="R328" s="2" t="inlineStr">
        <is>
          <t>Fläcknycklar
Grönvit nattviol</t>
        </is>
      </c>
      <c r="S328">
        <f>HYPERLINK("https://klasma.github.io/Logging_1473/artfynd/A 7823-2022 artfynd.xlsx", "A 7823-2022")</f>
        <v/>
      </c>
      <c r="T328">
        <f>HYPERLINK("https://klasma.github.io/Logging_1473/kartor/A 7823-2022 karta.png", "A 7823-2022")</f>
        <v/>
      </c>
      <c r="V328">
        <f>HYPERLINK("https://klasma.github.io/Logging_1473/klagomål/A 7823-2022 FSC-klagomål.docx", "A 7823-2022")</f>
        <v/>
      </c>
      <c r="W328">
        <f>HYPERLINK("https://klasma.github.io/Logging_1473/klagomålsmail/A 7823-2022 FSC-klagomål mail.docx", "A 7823-2022")</f>
        <v/>
      </c>
      <c r="X328">
        <f>HYPERLINK("https://klasma.github.io/Logging_1473/tillsyn/A 7823-2022 tillsynsbegäran.docx", "A 7823-2022")</f>
        <v/>
      </c>
      <c r="Y328">
        <f>HYPERLINK("https://klasma.github.io/Logging_1473/tillsynsmail/A 7823-2022 tillsynsbegäran mail.docx", "A 7823-2022")</f>
        <v/>
      </c>
    </row>
    <row r="329" ht="15" customHeight="1">
      <c r="A329" t="inlineStr">
        <is>
          <t>A 8510-2022</t>
        </is>
      </c>
      <c r="B329" s="1" t="n">
        <v>44613</v>
      </c>
      <c r="C329" s="1" t="n">
        <v>45586</v>
      </c>
      <c r="D329" t="inlineStr">
        <is>
          <t>VÄSTRA GÖTALANDS LÄN</t>
        </is>
      </c>
      <c r="E329" t="inlineStr">
        <is>
          <t>TIBRO</t>
        </is>
      </c>
      <c r="F329" t="inlineStr">
        <is>
          <t>Sveaskog</t>
        </is>
      </c>
      <c r="G329" t="n">
        <v>11.3</v>
      </c>
      <c r="H329" t="n">
        <v>2</v>
      </c>
      <c r="I329" t="n">
        <v>0</v>
      </c>
      <c r="J329" t="n">
        <v>0</v>
      </c>
      <c r="K329" t="n">
        <v>0</v>
      </c>
      <c r="L329" t="n">
        <v>0</v>
      </c>
      <c r="M329" t="n">
        <v>0</v>
      </c>
      <c r="N329" t="n">
        <v>0</v>
      </c>
      <c r="O329" t="n">
        <v>0</v>
      </c>
      <c r="P329" t="n">
        <v>0</v>
      </c>
      <c r="Q329" t="n">
        <v>2</v>
      </c>
      <c r="R329" s="2" t="inlineStr">
        <is>
          <t>Nattviol
Blåsippa</t>
        </is>
      </c>
      <c r="S329">
        <f>HYPERLINK("https://klasma.github.io/Logging_1472/artfynd/A 8510-2022 artfynd.xlsx", "A 8510-2022")</f>
        <v/>
      </c>
      <c r="T329">
        <f>HYPERLINK("https://klasma.github.io/Logging_1472/kartor/A 8510-2022 karta.png", "A 8510-2022")</f>
        <v/>
      </c>
      <c r="V329">
        <f>HYPERLINK("https://klasma.github.io/Logging_1472/klagomål/A 8510-2022 FSC-klagomål.docx", "A 8510-2022")</f>
        <v/>
      </c>
      <c r="W329">
        <f>HYPERLINK("https://klasma.github.io/Logging_1472/klagomålsmail/A 8510-2022 FSC-klagomål mail.docx", "A 8510-2022")</f>
        <v/>
      </c>
      <c r="X329">
        <f>HYPERLINK("https://klasma.github.io/Logging_1472/tillsyn/A 8510-2022 tillsynsbegäran.docx", "A 8510-2022")</f>
        <v/>
      </c>
      <c r="Y329">
        <f>HYPERLINK("https://klasma.github.io/Logging_1472/tillsynsmail/A 8510-2022 tillsynsbegäran mail.docx", "A 8510-2022")</f>
        <v/>
      </c>
    </row>
    <row r="330" ht="15" customHeight="1">
      <c r="A330" t="inlineStr">
        <is>
          <t>A 9099-2022</t>
        </is>
      </c>
      <c r="B330" s="1" t="n">
        <v>44615</v>
      </c>
      <c r="C330" s="1" t="n">
        <v>45586</v>
      </c>
      <c r="D330" t="inlineStr">
        <is>
          <t>VÄSTRA GÖTALANDS LÄN</t>
        </is>
      </c>
      <c r="E330" t="inlineStr">
        <is>
          <t>LILLA EDET</t>
        </is>
      </c>
      <c r="G330" t="n">
        <v>3.8</v>
      </c>
      <c r="H330" t="n">
        <v>0</v>
      </c>
      <c r="I330" t="n">
        <v>1</v>
      </c>
      <c r="J330" t="n">
        <v>0</v>
      </c>
      <c r="K330" t="n">
        <v>1</v>
      </c>
      <c r="L330" t="n">
        <v>0</v>
      </c>
      <c r="M330" t="n">
        <v>0</v>
      </c>
      <c r="N330" t="n">
        <v>0</v>
      </c>
      <c r="O330" t="n">
        <v>1</v>
      </c>
      <c r="P330" t="n">
        <v>1</v>
      </c>
      <c r="Q330" t="n">
        <v>2</v>
      </c>
      <c r="R330" s="2" t="inlineStr">
        <is>
          <t>Liten havstulpanlav
Havstulpanlav</t>
        </is>
      </c>
      <c r="S330">
        <f>HYPERLINK("https://klasma.github.io/Logging_1462/artfynd/A 9099-2022 artfynd.xlsx", "A 9099-2022")</f>
        <v/>
      </c>
      <c r="T330">
        <f>HYPERLINK("https://klasma.github.io/Logging_1462/kartor/A 9099-2022 karta.png", "A 9099-2022")</f>
        <v/>
      </c>
      <c r="V330">
        <f>HYPERLINK("https://klasma.github.io/Logging_1462/klagomål/A 9099-2022 FSC-klagomål.docx", "A 9099-2022")</f>
        <v/>
      </c>
      <c r="W330">
        <f>HYPERLINK("https://klasma.github.io/Logging_1462/klagomålsmail/A 9099-2022 FSC-klagomål mail.docx", "A 9099-2022")</f>
        <v/>
      </c>
      <c r="X330">
        <f>HYPERLINK("https://klasma.github.io/Logging_1462/tillsyn/A 9099-2022 tillsynsbegäran.docx", "A 9099-2022")</f>
        <v/>
      </c>
      <c r="Y330">
        <f>HYPERLINK("https://klasma.github.io/Logging_1462/tillsynsmail/A 9099-2022 tillsynsbegäran mail.docx", "A 9099-2022")</f>
        <v/>
      </c>
    </row>
    <row r="331" ht="15" customHeight="1">
      <c r="A331" t="inlineStr">
        <is>
          <t>A 13274-2022</t>
        </is>
      </c>
      <c r="B331" s="1" t="n">
        <v>44644</v>
      </c>
      <c r="C331" s="1" t="n">
        <v>45586</v>
      </c>
      <c r="D331" t="inlineStr">
        <is>
          <t>VÄSTRA GÖTALANDS LÄN</t>
        </is>
      </c>
      <c r="E331" t="inlineStr">
        <is>
          <t>TANUM</t>
        </is>
      </c>
      <c r="G331" t="n">
        <v>4</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13274-2022 artfynd.xlsx", "A 13274-2022")</f>
        <v/>
      </c>
      <c r="T331">
        <f>HYPERLINK("https://klasma.github.io/Logging_1435/kartor/A 13274-2022 karta.png", "A 13274-2022")</f>
        <v/>
      </c>
      <c r="V331">
        <f>HYPERLINK("https://klasma.github.io/Logging_1435/klagomål/A 13274-2022 FSC-klagomål.docx", "A 13274-2022")</f>
        <v/>
      </c>
      <c r="W331">
        <f>HYPERLINK("https://klasma.github.io/Logging_1435/klagomålsmail/A 13274-2022 FSC-klagomål mail.docx", "A 13274-2022")</f>
        <v/>
      </c>
      <c r="X331">
        <f>HYPERLINK("https://klasma.github.io/Logging_1435/tillsyn/A 13274-2022 tillsynsbegäran.docx", "A 13274-2022")</f>
        <v/>
      </c>
      <c r="Y331">
        <f>HYPERLINK("https://klasma.github.io/Logging_1435/tillsynsmail/A 13274-2022 tillsynsbegäran mail.docx", "A 13274-2022")</f>
        <v/>
      </c>
    </row>
    <row r="332" ht="15" customHeight="1">
      <c r="A332" t="inlineStr">
        <is>
          <t>A 16972-2022</t>
        </is>
      </c>
      <c r="B332" s="1" t="n">
        <v>44676</v>
      </c>
      <c r="C332" s="1" t="n">
        <v>45586</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22268-2022</t>
        </is>
      </c>
      <c r="B333" s="1" t="n">
        <v>44712</v>
      </c>
      <c r="C333" s="1" t="n">
        <v>45586</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26286-2022</t>
        </is>
      </c>
      <c r="B334" s="1" t="n">
        <v>44735</v>
      </c>
      <c r="C334" s="1" t="n">
        <v>45586</v>
      </c>
      <c r="D334" t="inlineStr">
        <is>
          <t>VÄSTRA GÖTALANDS LÄN</t>
        </is>
      </c>
      <c r="E334" t="inlineStr">
        <is>
          <t>MUNKEDAL</t>
        </is>
      </c>
      <c r="F334" t="inlineStr">
        <is>
          <t>Övriga Aktiebolag</t>
        </is>
      </c>
      <c r="G334" t="n">
        <v>5</v>
      </c>
      <c r="H334" t="n">
        <v>0</v>
      </c>
      <c r="I334" t="n">
        <v>0</v>
      </c>
      <c r="J334" t="n">
        <v>1</v>
      </c>
      <c r="K334" t="n">
        <v>0</v>
      </c>
      <c r="L334" t="n">
        <v>0</v>
      </c>
      <c r="M334" t="n">
        <v>1</v>
      </c>
      <c r="N334" t="n">
        <v>0</v>
      </c>
      <c r="O334" t="n">
        <v>2</v>
      </c>
      <c r="P334" t="n">
        <v>1</v>
      </c>
      <c r="Q334" t="n">
        <v>2</v>
      </c>
      <c r="R334" s="2" t="inlineStr">
        <is>
          <t>Skogsalm
Skogssvingel</t>
        </is>
      </c>
      <c r="S334">
        <f>HYPERLINK("https://klasma.github.io/Logging_1430/artfynd/A 26286-2022 artfynd.xlsx", "A 26286-2022")</f>
        <v/>
      </c>
      <c r="T334">
        <f>HYPERLINK("https://klasma.github.io/Logging_1430/kartor/A 26286-2022 karta.png", "A 26286-2022")</f>
        <v/>
      </c>
      <c r="V334">
        <f>HYPERLINK("https://klasma.github.io/Logging_1430/klagomål/A 26286-2022 FSC-klagomål.docx", "A 26286-2022")</f>
        <v/>
      </c>
      <c r="W334">
        <f>HYPERLINK("https://klasma.github.io/Logging_1430/klagomålsmail/A 26286-2022 FSC-klagomål mail.docx", "A 26286-2022")</f>
        <v/>
      </c>
      <c r="X334">
        <f>HYPERLINK("https://klasma.github.io/Logging_1430/tillsyn/A 26286-2022 tillsynsbegäran.docx", "A 26286-2022")</f>
        <v/>
      </c>
      <c r="Y334">
        <f>HYPERLINK("https://klasma.github.io/Logging_1430/tillsynsmail/A 26286-2022 tillsynsbegäran mail.docx", "A 26286-2022")</f>
        <v/>
      </c>
    </row>
    <row r="335" ht="15" customHeight="1">
      <c r="A335" t="inlineStr">
        <is>
          <t>A 28676-2022</t>
        </is>
      </c>
      <c r="B335" s="1" t="n">
        <v>44748</v>
      </c>
      <c r="C335" s="1" t="n">
        <v>45586</v>
      </c>
      <c r="D335" t="inlineStr">
        <is>
          <t>VÄSTRA GÖTALANDS LÄN</t>
        </is>
      </c>
      <c r="E335" t="inlineStr">
        <is>
          <t>FALKÖPING</t>
        </is>
      </c>
      <c r="G335" t="n">
        <v>1.4</v>
      </c>
      <c r="H335" t="n">
        <v>1</v>
      </c>
      <c r="I335" t="n">
        <v>1</v>
      </c>
      <c r="J335" t="n">
        <v>0</v>
      </c>
      <c r="K335" t="n">
        <v>0</v>
      </c>
      <c r="L335" t="n">
        <v>0</v>
      </c>
      <c r="M335" t="n">
        <v>0</v>
      </c>
      <c r="N335" t="n">
        <v>0</v>
      </c>
      <c r="O335" t="n">
        <v>0</v>
      </c>
      <c r="P335" t="n">
        <v>0</v>
      </c>
      <c r="Q335" t="n">
        <v>2</v>
      </c>
      <c r="R335" s="2" t="inlineStr">
        <is>
          <t>Myskmadra
Blåsippa</t>
        </is>
      </c>
      <c r="S335">
        <f>HYPERLINK("https://klasma.github.io/Logging_1499/artfynd/A 28676-2022 artfynd.xlsx", "A 28676-2022")</f>
        <v/>
      </c>
      <c r="T335">
        <f>HYPERLINK("https://klasma.github.io/Logging_1499/kartor/A 28676-2022 karta.png", "A 28676-2022")</f>
        <v/>
      </c>
      <c r="V335">
        <f>HYPERLINK("https://klasma.github.io/Logging_1499/klagomål/A 28676-2022 FSC-klagomål.docx", "A 28676-2022")</f>
        <v/>
      </c>
      <c r="W335">
        <f>HYPERLINK("https://klasma.github.io/Logging_1499/klagomålsmail/A 28676-2022 FSC-klagomål mail.docx", "A 28676-2022")</f>
        <v/>
      </c>
      <c r="X335">
        <f>HYPERLINK("https://klasma.github.io/Logging_1499/tillsyn/A 28676-2022 tillsynsbegäran.docx", "A 28676-2022")</f>
        <v/>
      </c>
      <c r="Y335">
        <f>HYPERLINK("https://klasma.github.io/Logging_1499/tillsynsmail/A 28676-2022 tillsynsbegäran mail.docx", "A 28676-2022")</f>
        <v/>
      </c>
    </row>
    <row r="336" ht="15" customHeight="1">
      <c r="A336" t="inlineStr">
        <is>
          <t>A 29122-2022</t>
        </is>
      </c>
      <c r="B336" s="1" t="n">
        <v>44750</v>
      </c>
      <c r="C336" s="1" t="n">
        <v>45586</v>
      </c>
      <c r="D336" t="inlineStr">
        <is>
          <t>VÄSTRA GÖTALANDS LÄN</t>
        </is>
      </c>
      <c r="E336" t="inlineStr">
        <is>
          <t>MELLERUD</t>
        </is>
      </c>
      <c r="G336" t="n">
        <v>2.7</v>
      </c>
      <c r="H336" t="n">
        <v>0</v>
      </c>
      <c r="I336" t="n">
        <v>0</v>
      </c>
      <c r="J336" t="n">
        <v>2</v>
      </c>
      <c r="K336" t="n">
        <v>0</v>
      </c>
      <c r="L336" t="n">
        <v>0</v>
      </c>
      <c r="M336" t="n">
        <v>0</v>
      </c>
      <c r="N336" t="n">
        <v>0</v>
      </c>
      <c r="O336" t="n">
        <v>2</v>
      </c>
      <c r="P336" t="n">
        <v>0</v>
      </c>
      <c r="Q336" t="n">
        <v>2</v>
      </c>
      <c r="R336" s="2" t="inlineStr">
        <is>
          <t>Bergjohannesört
Vippärt</t>
        </is>
      </c>
      <c r="S336">
        <f>HYPERLINK("https://klasma.github.io/Logging_1461/artfynd/A 29122-2022 artfynd.xlsx", "A 29122-2022")</f>
        <v/>
      </c>
      <c r="T336">
        <f>HYPERLINK("https://klasma.github.io/Logging_1461/kartor/A 29122-2022 karta.png", "A 29122-2022")</f>
        <v/>
      </c>
      <c r="V336">
        <f>HYPERLINK("https://klasma.github.io/Logging_1461/klagomål/A 29122-2022 FSC-klagomål.docx", "A 29122-2022")</f>
        <v/>
      </c>
      <c r="W336">
        <f>HYPERLINK("https://klasma.github.io/Logging_1461/klagomålsmail/A 29122-2022 FSC-klagomål mail.docx", "A 29122-2022")</f>
        <v/>
      </c>
      <c r="X336">
        <f>HYPERLINK("https://klasma.github.io/Logging_1461/tillsyn/A 29122-2022 tillsynsbegäran.docx", "A 29122-2022")</f>
        <v/>
      </c>
      <c r="Y336">
        <f>HYPERLINK("https://klasma.github.io/Logging_1461/tillsynsmail/A 29122-2022 tillsynsbegäran mail.docx", "A 29122-2022")</f>
        <v/>
      </c>
    </row>
    <row r="337" ht="15" customHeight="1">
      <c r="A337" t="inlineStr">
        <is>
          <t>A 29220-2022</t>
        </is>
      </c>
      <c r="B337" s="1" t="n">
        <v>44750</v>
      </c>
      <c r="C337" s="1" t="n">
        <v>45586</v>
      </c>
      <c r="D337" t="inlineStr">
        <is>
          <t>VÄSTRA GÖTALANDS LÄN</t>
        </is>
      </c>
      <c r="E337" t="inlineStr">
        <is>
          <t>BENGTSFORS</t>
        </is>
      </c>
      <c r="G337" t="n">
        <v>6.6</v>
      </c>
      <c r="H337" t="n">
        <v>1</v>
      </c>
      <c r="I337" t="n">
        <v>0</v>
      </c>
      <c r="J337" t="n">
        <v>1</v>
      </c>
      <c r="K337" t="n">
        <v>0</v>
      </c>
      <c r="L337" t="n">
        <v>0</v>
      </c>
      <c r="M337" t="n">
        <v>0</v>
      </c>
      <c r="N337" t="n">
        <v>0</v>
      </c>
      <c r="O337" t="n">
        <v>1</v>
      </c>
      <c r="P337" t="n">
        <v>0</v>
      </c>
      <c r="Q337" t="n">
        <v>2</v>
      </c>
      <c r="R337" s="2" t="inlineStr">
        <is>
          <t>Vedtrappmossa
Vanlig padda</t>
        </is>
      </c>
      <c r="S337">
        <f>HYPERLINK("https://klasma.github.io/Logging_1460/artfynd/A 29220-2022 artfynd.xlsx", "A 29220-2022")</f>
        <v/>
      </c>
      <c r="T337">
        <f>HYPERLINK("https://klasma.github.io/Logging_1460/kartor/A 29220-2022 karta.png", "A 29220-2022")</f>
        <v/>
      </c>
      <c r="V337">
        <f>HYPERLINK("https://klasma.github.io/Logging_1460/klagomål/A 29220-2022 FSC-klagomål.docx", "A 29220-2022")</f>
        <v/>
      </c>
      <c r="W337">
        <f>HYPERLINK("https://klasma.github.io/Logging_1460/klagomålsmail/A 29220-2022 FSC-klagomål mail.docx", "A 29220-2022")</f>
        <v/>
      </c>
      <c r="X337">
        <f>HYPERLINK("https://klasma.github.io/Logging_1460/tillsyn/A 29220-2022 tillsynsbegäran.docx", "A 29220-2022")</f>
        <v/>
      </c>
      <c r="Y337">
        <f>HYPERLINK("https://klasma.github.io/Logging_1460/tillsynsmail/A 29220-2022 tillsynsbegäran mail.docx", "A 29220-2022")</f>
        <v/>
      </c>
    </row>
    <row r="338" ht="15" customHeight="1">
      <c r="A338" t="inlineStr">
        <is>
          <t>A 29724-2022</t>
        </is>
      </c>
      <c r="B338" s="1" t="n">
        <v>44755</v>
      </c>
      <c r="C338" s="1" t="n">
        <v>45586</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31341-2022</t>
        </is>
      </c>
      <c r="B339" s="1" t="n">
        <v>44774</v>
      </c>
      <c r="C339" s="1" t="n">
        <v>45586</v>
      </c>
      <c r="D339" t="inlineStr">
        <is>
          <t>VÄSTRA GÖTALANDS LÄN</t>
        </is>
      </c>
      <c r="E339" t="inlineStr">
        <is>
          <t>VÅRGÅRDA</t>
        </is>
      </c>
      <c r="G339" t="n">
        <v>1</v>
      </c>
      <c r="H339" t="n">
        <v>1</v>
      </c>
      <c r="I339" t="n">
        <v>0</v>
      </c>
      <c r="J339" t="n">
        <v>1</v>
      </c>
      <c r="K339" t="n">
        <v>0</v>
      </c>
      <c r="L339" t="n">
        <v>0</v>
      </c>
      <c r="M339" t="n">
        <v>0</v>
      </c>
      <c r="N339" t="n">
        <v>0</v>
      </c>
      <c r="O339" t="n">
        <v>1</v>
      </c>
      <c r="P339" t="n">
        <v>0</v>
      </c>
      <c r="Q339" t="n">
        <v>2</v>
      </c>
      <c r="R339" s="2" t="inlineStr">
        <is>
          <t>Svinrot
Grönvit nattviol</t>
        </is>
      </c>
      <c r="S339">
        <f>HYPERLINK("https://klasma.github.io/Logging_1442/artfynd/A 31341-2022 artfynd.xlsx", "A 31341-2022")</f>
        <v/>
      </c>
      <c r="T339">
        <f>HYPERLINK("https://klasma.github.io/Logging_1442/kartor/A 31341-2022 karta.png", "A 31341-2022")</f>
        <v/>
      </c>
      <c r="V339">
        <f>HYPERLINK("https://klasma.github.io/Logging_1442/klagomål/A 31341-2022 FSC-klagomål.docx", "A 31341-2022")</f>
        <v/>
      </c>
      <c r="W339">
        <f>HYPERLINK("https://klasma.github.io/Logging_1442/klagomålsmail/A 31341-2022 FSC-klagomål mail.docx", "A 31341-2022")</f>
        <v/>
      </c>
      <c r="X339">
        <f>HYPERLINK("https://klasma.github.io/Logging_1442/tillsyn/A 31341-2022 tillsynsbegäran.docx", "A 31341-2022")</f>
        <v/>
      </c>
      <c r="Y339">
        <f>HYPERLINK("https://klasma.github.io/Logging_1442/tillsynsmail/A 31341-2022 tillsynsbegäran mail.docx", "A 31341-2022")</f>
        <v/>
      </c>
    </row>
    <row r="340" ht="15" customHeight="1">
      <c r="A340" t="inlineStr">
        <is>
          <t>A 32280-2022</t>
        </is>
      </c>
      <c r="B340" s="1" t="n">
        <v>44781</v>
      </c>
      <c r="C340" s="1" t="n">
        <v>45586</v>
      </c>
      <c r="D340" t="inlineStr">
        <is>
          <t>VÄSTRA GÖTALANDS LÄN</t>
        </is>
      </c>
      <c r="E340" t="inlineStr">
        <is>
          <t>LIDKÖPING</t>
        </is>
      </c>
      <c r="G340" t="n">
        <v>8.6</v>
      </c>
      <c r="H340" t="n">
        <v>1</v>
      </c>
      <c r="I340" t="n">
        <v>1</v>
      </c>
      <c r="J340" t="n">
        <v>1</v>
      </c>
      <c r="K340" t="n">
        <v>0</v>
      </c>
      <c r="L340" t="n">
        <v>0</v>
      </c>
      <c r="M340" t="n">
        <v>0</v>
      </c>
      <c r="N340" t="n">
        <v>0</v>
      </c>
      <c r="O340" t="n">
        <v>1</v>
      </c>
      <c r="P340" t="n">
        <v>0</v>
      </c>
      <c r="Q340" t="n">
        <v>2</v>
      </c>
      <c r="R340" s="2" t="inlineStr">
        <is>
          <t>Gulsparv
Sotriska</t>
        </is>
      </c>
      <c r="S340">
        <f>HYPERLINK("https://klasma.github.io/Logging_1494/artfynd/A 32280-2022 artfynd.xlsx", "A 32280-2022")</f>
        <v/>
      </c>
      <c r="T340">
        <f>HYPERLINK("https://klasma.github.io/Logging_1494/kartor/A 32280-2022 karta.png", "A 32280-2022")</f>
        <v/>
      </c>
      <c r="V340">
        <f>HYPERLINK("https://klasma.github.io/Logging_1494/klagomål/A 32280-2022 FSC-klagomål.docx", "A 32280-2022")</f>
        <v/>
      </c>
      <c r="W340">
        <f>HYPERLINK("https://klasma.github.io/Logging_1494/klagomålsmail/A 32280-2022 FSC-klagomål mail.docx", "A 32280-2022")</f>
        <v/>
      </c>
      <c r="X340">
        <f>HYPERLINK("https://klasma.github.io/Logging_1494/tillsyn/A 32280-2022 tillsynsbegäran.docx", "A 32280-2022")</f>
        <v/>
      </c>
      <c r="Y340">
        <f>HYPERLINK("https://klasma.github.io/Logging_1494/tillsynsmail/A 32280-2022 tillsynsbegäran mail.docx", "A 32280-2022")</f>
        <v/>
      </c>
      <c r="Z340">
        <f>HYPERLINK("https://klasma.github.io/Logging_1494/fåglar/A 32280-2022 prioriterade fågelarter.docx", "A 32280-2022")</f>
        <v/>
      </c>
    </row>
    <row r="341" ht="15" customHeight="1">
      <c r="A341" t="inlineStr">
        <is>
          <t>A 36195-2022</t>
        </is>
      </c>
      <c r="B341" s="1" t="n">
        <v>44803</v>
      </c>
      <c r="C341" s="1" t="n">
        <v>45586</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38498-2022</t>
        </is>
      </c>
      <c r="B342" s="1" t="n">
        <v>44813</v>
      </c>
      <c r="C342" s="1" t="n">
        <v>45586</v>
      </c>
      <c r="D342" t="inlineStr">
        <is>
          <t>VÄSTRA GÖTALANDS LÄN</t>
        </is>
      </c>
      <c r="E342" t="inlineStr">
        <is>
          <t>FÄRGELANDA</t>
        </is>
      </c>
      <c r="G342" t="n">
        <v>4.8</v>
      </c>
      <c r="H342" t="n">
        <v>0</v>
      </c>
      <c r="I342" t="n">
        <v>2</v>
      </c>
      <c r="J342" t="n">
        <v>0</v>
      </c>
      <c r="K342" t="n">
        <v>0</v>
      </c>
      <c r="L342" t="n">
        <v>0</v>
      </c>
      <c r="M342" t="n">
        <v>0</v>
      </c>
      <c r="N342" t="n">
        <v>0</v>
      </c>
      <c r="O342" t="n">
        <v>0</v>
      </c>
      <c r="P342" t="n">
        <v>0</v>
      </c>
      <c r="Q342" t="n">
        <v>2</v>
      </c>
      <c r="R342" s="2" t="inlineStr">
        <is>
          <t>Kambräken
Sårläka</t>
        </is>
      </c>
      <c r="S342">
        <f>HYPERLINK("https://klasma.github.io/Logging_1439/artfynd/A 38498-2022 artfynd.xlsx", "A 38498-2022")</f>
        <v/>
      </c>
      <c r="T342">
        <f>HYPERLINK("https://klasma.github.io/Logging_1439/kartor/A 38498-2022 karta.png", "A 38498-2022")</f>
        <v/>
      </c>
      <c r="V342">
        <f>HYPERLINK("https://klasma.github.io/Logging_1439/klagomål/A 38498-2022 FSC-klagomål.docx", "A 38498-2022")</f>
        <v/>
      </c>
      <c r="W342">
        <f>HYPERLINK("https://klasma.github.io/Logging_1439/klagomålsmail/A 38498-2022 FSC-klagomål mail.docx", "A 38498-2022")</f>
        <v/>
      </c>
      <c r="X342">
        <f>HYPERLINK("https://klasma.github.io/Logging_1439/tillsyn/A 38498-2022 tillsynsbegäran.docx", "A 38498-2022")</f>
        <v/>
      </c>
      <c r="Y342">
        <f>HYPERLINK("https://klasma.github.io/Logging_1439/tillsynsmail/A 38498-2022 tillsynsbegäran mail.docx", "A 38498-2022")</f>
        <v/>
      </c>
    </row>
    <row r="343" ht="15" customHeight="1">
      <c r="A343" t="inlineStr">
        <is>
          <t>A 39812-2022</t>
        </is>
      </c>
      <c r="B343" s="1" t="n">
        <v>44817</v>
      </c>
      <c r="C343" s="1" t="n">
        <v>45586</v>
      </c>
      <c r="D343" t="inlineStr">
        <is>
          <t>VÄSTRA GÖTALANDS LÄN</t>
        </is>
      </c>
      <c r="E343" t="inlineStr">
        <is>
          <t>MUNKEDAL</t>
        </is>
      </c>
      <c r="G343" t="n">
        <v>5.2</v>
      </c>
      <c r="H343" t="n">
        <v>2</v>
      </c>
      <c r="I343" t="n">
        <v>0</v>
      </c>
      <c r="J343" t="n">
        <v>0</v>
      </c>
      <c r="K343" t="n">
        <v>0</v>
      </c>
      <c r="L343" t="n">
        <v>0</v>
      </c>
      <c r="M343" t="n">
        <v>0</v>
      </c>
      <c r="N343" t="n">
        <v>0</v>
      </c>
      <c r="O343" t="n">
        <v>0</v>
      </c>
      <c r="P343" t="n">
        <v>0</v>
      </c>
      <c r="Q343" t="n">
        <v>2</v>
      </c>
      <c r="R343" s="2" t="inlineStr">
        <is>
          <t>Lopplummer
Revlummer</t>
        </is>
      </c>
      <c r="S343">
        <f>HYPERLINK("https://klasma.github.io/Logging_1430/artfynd/A 39812-2022 artfynd.xlsx", "A 39812-2022")</f>
        <v/>
      </c>
      <c r="T343">
        <f>HYPERLINK("https://klasma.github.io/Logging_1430/kartor/A 39812-2022 karta.png", "A 39812-2022")</f>
        <v/>
      </c>
      <c r="V343">
        <f>HYPERLINK("https://klasma.github.io/Logging_1430/klagomål/A 39812-2022 FSC-klagomål.docx", "A 39812-2022")</f>
        <v/>
      </c>
      <c r="W343">
        <f>HYPERLINK("https://klasma.github.io/Logging_1430/klagomålsmail/A 39812-2022 FSC-klagomål mail.docx", "A 39812-2022")</f>
        <v/>
      </c>
      <c r="X343">
        <f>HYPERLINK("https://klasma.github.io/Logging_1430/tillsyn/A 39812-2022 tillsynsbegäran.docx", "A 39812-2022")</f>
        <v/>
      </c>
      <c r="Y343">
        <f>HYPERLINK("https://klasma.github.io/Logging_1430/tillsynsmail/A 39812-2022 tillsynsbegäran mail.docx", "A 39812-2022")</f>
        <v/>
      </c>
    </row>
    <row r="344" ht="15" customHeight="1">
      <c r="A344" t="inlineStr">
        <is>
          <t>A 51388-2022</t>
        </is>
      </c>
      <c r="B344" s="1" t="n">
        <v>44866</v>
      </c>
      <c r="C344" s="1" t="n">
        <v>45586</v>
      </c>
      <c r="D344" t="inlineStr">
        <is>
          <t>VÄSTRA GÖTALANDS LÄN</t>
        </is>
      </c>
      <c r="E344" t="inlineStr">
        <is>
          <t>BENGTSFORS</t>
        </is>
      </c>
      <c r="F344" t="inlineStr">
        <is>
          <t>Kyrkan</t>
        </is>
      </c>
      <c r="G344" t="n">
        <v>3.3</v>
      </c>
      <c r="H344" t="n">
        <v>1</v>
      </c>
      <c r="I344" t="n">
        <v>2</v>
      </c>
      <c r="J344" t="n">
        <v>0</v>
      </c>
      <c r="K344" t="n">
        <v>0</v>
      </c>
      <c r="L344" t="n">
        <v>0</v>
      </c>
      <c r="M344" t="n">
        <v>0</v>
      </c>
      <c r="N344" t="n">
        <v>0</v>
      </c>
      <c r="O344" t="n">
        <v>0</v>
      </c>
      <c r="P344" t="n">
        <v>0</v>
      </c>
      <c r="Q344" t="n">
        <v>2</v>
      </c>
      <c r="R344" s="2" t="inlineStr">
        <is>
          <t>Svart trolldruva
Tvåblad</t>
        </is>
      </c>
      <c r="S344">
        <f>HYPERLINK("https://klasma.github.io/Logging_1460/artfynd/A 51388-2022 artfynd.xlsx", "A 51388-2022")</f>
        <v/>
      </c>
      <c r="T344">
        <f>HYPERLINK("https://klasma.github.io/Logging_1460/kartor/A 51388-2022 karta.png", "A 51388-2022")</f>
        <v/>
      </c>
      <c r="V344">
        <f>HYPERLINK("https://klasma.github.io/Logging_1460/klagomål/A 51388-2022 FSC-klagomål.docx", "A 51388-2022")</f>
        <v/>
      </c>
      <c r="W344">
        <f>HYPERLINK("https://klasma.github.io/Logging_1460/klagomålsmail/A 51388-2022 FSC-klagomål mail.docx", "A 51388-2022")</f>
        <v/>
      </c>
      <c r="X344">
        <f>HYPERLINK("https://klasma.github.io/Logging_1460/tillsyn/A 51388-2022 tillsynsbegäran.docx", "A 51388-2022")</f>
        <v/>
      </c>
      <c r="Y344">
        <f>HYPERLINK("https://klasma.github.io/Logging_1460/tillsynsmail/A 51388-2022 tillsynsbegäran mail.docx", "A 51388-2022")</f>
        <v/>
      </c>
    </row>
    <row r="345" ht="15" customHeight="1">
      <c r="A345" t="inlineStr">
        <is>
          <t>A 51267-2022</t>
        </is>
      </c>
      <c r="B345" s="1" t="n">
        <v>44868</v>
      </c>
      <c r="C345" s="1" t="n">
        <v>45586</v>
      </c>
      <c r="D345" t="inlineStr">
        <is>
          <t>VÄSTRA GÖTALANDS LÄN</t>
        </is>
      </c>
      <c r="E345" t="inlineStr">
        <is>
          <t>TANUM</t>
        </is>
      </c>
      <c r="G345" t="n">
        <v>9.800000000000001</v>
      </c>
      <c r="H345" t="n">
        <v>2</v>
      </c>
      <c r="I345" t="n">
        <v>0</v>
      </c>
      <c r="J345" t="n">
        <v>0</v>
      </c>
      <c r="K345" t="n">
        <v>0</v>
      </c>
      <c r="L345" t="n">
        <v>0</v>
      </c>
      <c r="M345" t="n">
        <v>0</v>
      </c>
      <c r="N345" t="n">
        <v>0</v>
      </c>
      <c r="O345" t="n">
        <v>0</v>
      </c>
      <c r="P345" t="n">
        <v>0</v>
      </c>
      <c r="Q345" t="n">
        <v>2</v>
      </c>
      <c r="R345" s="2" t="inlineStr">
        <is>
          <t>Blåsippa
Lopplummer</t>
        </is>
      </c>
      <c r="S345">
        <f>HYPERLINK("https://klasma.github.io/Logging_1435/artfynd/A 51267-2022 artfynd.xlsx", "A 51267-2022")</f>
        <v/>
      </c>
      <c r="T345">
        <f>HYPERLINK("https://klasma.github.io/Logging_1435/kartor/A 51267-2022 karta.png", "A 51267-2022")</f>
        <v/>
      </c>
      <c r="V345">
        <f>HYPERLINK("https://klasma.github.io/Logging_1435/klagomål/A 51267-2022 FSC-klagomål.docx", "A 51267-2022")</f>
        <v/>
      </c>
      <c r="W345">
        <f>HYPERLINK("https://klasma.github.io/Logging_1435/klagomålsmail/A 51267-2022 FSC-klagomål mail.docx", "A 51267-2022")</f>
        <v/>
      </c>
      <c r="X345">
        <f>HYPERLINK("https://klasma.github.io/Logging_1435/tillsyn/A 51267-2022 tillsynsbegäran.docx", "A 51267-2022")</f>
        <v/>
      </c>
      <c r="Y345">
        <f>HYPERLINK("https://klasma.github.io/Logging_1435/tillsynsmail/A 51267-2022 tillsynsbegäran mail.docx", "A 51267-2022")</f>
        <v/>
      </c>
    </row>
    <row r="346" ht="15" customHeight="1">
      <c r="A346" t="inlineStr">
        <is>
          <t>A 58954-2022</t>
        </is>
      </c>
      <c r="B346" s="1" t="n">
        <v>44903</v>
      </c>
      <c r="C346" s="1" t="n">
        <v>45586</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58890-2022</t>
        </is>
      </c>
      <c r="B347" s="1" t="n">
        <v>44903</v>
      </c>
      <c r="C347" s="1" t="n">
        <v>45586</v>
      </c>
      <c r="D347" t="inlineStr">
        <is>
          <t>VÄSTRA GÖTALANDS LÄN</t>
        </is>
      </c>
      <c r="E347" t="inlineStr">
        <is>
          <t>MUNKEDAL</t>
        </is>
      </c>
      <c r="G347" t="n">
        <v>5.4</v>
      </c>
      <c r="H347" t="n">
        <v>0</v>
      </c>
      <c r="I347" t="n">
        <v>1</v>
      </c>
      <c r="J347" t="n">
        <v>1</v>
      </c>
      <c r="K347" t="n">
        <v>0</v>
      </c>
      <c r="L347" t="n">
        <v>0</v>
      </c>
      <c r="M347" t="n">
        <v>0</v>
      </c>
      <c r="N347" t="n">
        <v>0</v>
      </c>
      <c r="O347" t="n">
        <v>1</v>
      </c>
      <c r="P347" t="n">
        <v>0</v>
      </c>
      <c r="Q347" t="n">
        <v>2</v>
      </c>
      <c r="R347" s="2" t="inlineStr">
        <is>
          <t>Svart taggsvamp
Stor revmossa</t>
        </is>
      </c>
      <c r="S347">
        <f>HYPERLINK("https://klasma.github.io/Logging_1430/artfynd/A 58890-2022 artfynd.xlsx", "A 58890-2022")</f>
        <v/>
      </c>
      <c r="T347">
        <f>HYPERLINK("https://klasma.github.io/Logging_1430/kartor/A 58890-2022 karta.png", "A 58890-2022")</f>
        <v/>
      </c>
      <c r="V347">
        <f>HYPERLINK("https://klasma.github.io/Logging_1430/klagomål/A 58890-2022 FSC-klagomål.docx", "A 58890-2022")</f>
        <v/>
      </c>
      <c r="W347">
        <f>HYPERLINK("https://klasma.github.io/Logging_1430/klagomålsmail/A 58890-2022 FSC-klagomål mail.docx", "A 58890-2022")</f>
        <v/>
      </c>
      <c r="X347">
        <f>HYPERLINK("https://klasma.github.io/Logging_1430/tillsyn/A 58890-2022 tillsynsbegäran.docx", "A 58890-2022")</f>
        <v/>
      </c>
      <c r="Y347">
        <f>HYPERLINK("https://klasma.github.io/Logging_1430/tillsynsmail/A 58890-2022 tillsynsbegäran mail.docx", "A 58890-2022")</f>
        <v/>
      </c>
    </row>
    <row r="348" ht="15" customHeight="1">
      <c r="A348" t="inlineStr">
        <is>
          <t>A 61611-2022</t>
        </is>
      </c>
      <c r="B348" s="1" t="n">
        <v>44916</v>
      </c>
      <c r="C348" s="1" t="n">
        <v>45586</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2579-2023</t>
        </is>
      </c>
      <c r="B349" s="1" t="n">
        <v>44943</v>
      </c>
      <c r="C349" s="1" t="n">
        <v>45586</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2764-2023</t>
        </is>
      </c>
      <c r="B350" s="1" t="n">
        <v>44944</v>
      </c>
      <c r="C350" s="1" t="n">
        <v>45586</v>
      </c>
      <c r="D350" t="inlineStr">
        <is>
          <t>VÄSTRA GÖTALANDS LÄN</t>
        </is>
      </c>
      <c r="E350" t="inlineStr">
        <is>
          <t>TIBRO</t>
        </is>
      </c>
      <c r="G350" t="n">
        <v>7.6</v>
      </c>
      <c r="H350" t="n">
        <v>0</v>
      </c>
      <c r="I350" t="n">
        <v>0</v>
      </c>
      <c r="J350" t="n">
        <v>1</v>
      </c>
      <c r="K350" t="n">
        <v>0</v>
      </c>
      <c r="L350" t="n">
        <v>1</v>
      </c>
      <c r="M350" t="n">
        <v>0</v>
      </c>
      <c r="N350" t="n">
        <v>0</v>
      </c>
      <c r="O350" t="n">
        <v>2</v>
      </c>
      <c r="P350" t="n">
        <v>1</v>
      </c>
      <c r="Q350" t="n">
        <v>2</v>
      </c>
      <c r="R350" s="2" t="inlineStr">
        <is>
          <t>Ask
Vårstarr</t>
        </is>
      </c>
      <c r="S350">
        <f>HYPERLINK("https://klasma.github.io/Logging_1472/artfynd/A 2764-2023 artfynd.xlsx", "A 2764-2023")</f>
        <v/>
      </c>
      <c r="T350">
        <f>HYPERLINK("https://klasma.github.io/Logging_1472/kartor/A 2764-2023 karta.png", "A 2764-2023")</f>
        <v/>
      </c>
      <c r="V350">
        <f>HYPERLINK("https://klasma.github.io/Logging_1472/klagomål/A 2764-2023 FSC-klagomål.docx", "A 2764-2023")</f>
        <v/>
      </c>
      <c r="W350">
        <f>HYPERLINK("https://klasma.github.io/Logging_1472/klagomålsmail/A 2764-2023 FSC-klagomål mail.docx", "A 2764-2023")</f>
        <v/>
      </c>
      <c r="X350">
        <f>HYPERLINK("https://klasma.github.io/Logging_1472/tillsyn/A 2764-2023 tillsynsbegäran.docx", "A 2764-2023")</f>
        <v/>
      </c>
      <c r="Y350">
        <f>HYPERLINK("https://klasma.github.io/Logging_1472/tillsynsmail/A 2764-2023 tillsynsbegäran mail.docx", "A 2764-2023")</f>
        <v/>
      </c>
    </row>
    <row r="351" ht="15" customHeight="1">
      <c r="A351" t="inlineStr">
        <is>
          <t>A 3410-2023</t>
        </is>
      </c>
      <c r="B351" s="1" t="n">
        <v>44949</v>
      </c>
      <c r="C351" s="1" t="n">
        <v>45586</v>
      </c>
      <c r="D351" t="inlineStr">
        <is>
          <t>VÄSTRA GÖTALANDS LÄN</t>
        </is>
      </c>
      <c r="E351" t="inlineStr">
        <is>
          <t>SKÖVDE</t>
        </is>
      </c>
      <c r="F351" t="inlineStr">
        <is>
          <t>Kommuner</t>
        </is>
      </c>
      <c r="G351" t="n">
        <v>1.1</v>
      </c>
      <c r="H351" t="n">
        <v>1</v>
      </c>
      <c r="I351" t="n">
        <v>1</v>
      </c>
      <c r="J351" t="n">
        <v>0</v>
      </c>
      <c r="K351" t="n">
        <v>0</v>
      </c>
      <c r="L351" t="n">
        <v>0</v>
      </c>
      <c r="M351" t="n">
        <v>0</v>
      </c>
      <c r="N351" t="n">
        <v>0</v>
      </c>
      <c r="O351" t="n">
        <v>0</v>
      </c>
      <c r="P351" t="n">
        <v>0</v>
      </c>
      <c r="Q351" t="n">
        <v>2</v>
      </c>
      <c r="R351" s="2" t="inlineStr">
        <is>
          <t>Västlig hakmossa
Revlummer</t>
        </is>
      </c>
      <c r="S351">
        <f>HYPERLINK("https://klasma.github.io/Logging_1496/artfynd/A 3410-2023 artfynd.xlsx", "A 3410-2023")</f>
        <v/>
      </c>
      <c r="T351">
        <f>HYPERLINK("https://klasma.github.io/Logging_1496/kartor/A 3410-2023 karta.png", "A 3410-2023")</f>
        <v/>
      </c>
      <c r="V351">
        <f>HYPERLINK("https://klasma.github.io/Logging_1496/klagomål/A 3410-2023 FSC-klagomål.docx", "A 3410-2023")</f>
        <v/>
      </c>
      <c r="W351">
        <f>HYPERLINK("https://klasma.github.io/Logging_1496/klagomålsmail/A 3410-2023 FSC-klagomål mail.docx", "A 3410-2023")</f>
        <v/>
      </c>
      <c r="X351">
        <f>HYPERLINK("https://klasma.github.io/Logging_1496/tillsyn/A 3410-2023 tillsynsbegäran.docx", "A 3410-2023")</f>
        <v/>
      </c>
      <c r="Y351">
        <f>HYPERLINK("https://klasma.github.io/Logging_1496/tillsynsmail/A 3410-2023 tillsynsbegäran mail.docx", "A 3410-2023")</f>
        <v/>
      </c>
    </row>
    <row r="352" ht="15" customHeight="1">
      <c r="A352" t="inlineStr">
        <is>
          <t>A 3793-2023</t>
        </is>
      </c>
      <c r="B352" s="1" t="n">
        <v>44951</v>
      </c>
      <c r="C352" s="1" t="n">
        <v>45586</v>
      </c>
      <c r="D352" t="inlineStr">
        <is>
          <t>VÄSTRA GÖTALANDS LÄN</t>
        </is>
      </c>
      <c r="E352" t="inlineStr">
        <is>
          <t>BENGTSFORS</t>
        </is>
      </c>
      <c r="G352" t="n">
        <v>16.4</v>
      </c>
      <c r="H352" t="n">
        <v>2</v>
      </c>
      <c r="I352" t="n">
        <v>0</v>
      </c>
      <c r="J352" t="n">
        <v>0</v>
      </c>
      <c r="K352" t="n">
        <v>0</v>
      </c>
      <c r="L352" t="n">
        <v>0</v>
      </c>
      <c r="M352" t="n">
        <v>0</v>
      </c>
      <c r="N352" t="n">
        <v>0</v>
      </c>
      <c r="O352" t="n">
        <v>0</v>
      </c>
      <c r="P352" t="n">
        <v>0</v>
      </c>
      <c r="Q352" t="n">
        <v>2</v>
      </c>
      <c r="R352" s="2" t="inlineStr">
        <is>
          <t>Fläcknycklar
Nattviol</t>
        </is>
      </c>
      <c r="S352">
        <f>HYPERLINK("https://klasma.github.io/Logging_1460/artfynd/A 3793-2023 artfynd.xlsx", "A 3793-2023")</f>
        <v/>
      </c>
      <c r="T352">
        <f>HYPERLINK("https://klasma.github.io/Logging_1460/kartor/A 3793-2023 karta.png", "A 3793-2023")</f>
        <v/>
      </c>
      <c r="V352">
        <f>HYPERLINK("https://klasma.github.io/Logging_1460/klagomål/A 3793-2023 FSC-klagomål.docx", "A 3793-2023")</f>
        <v/>
      </c>
      <c r="W352">
        <f>HYPERLINK("https://klasma.github.io/Logging_1460/klagomålsmail/A 3793-2023 FSC-klagomål mail.docx", "A 3793-2023")</f>
        <v/>
      </c>
      <c r="X352">
        <f>HYPERLINK("https://klasma.github.io/Logging_1460/tillsyn/A 3793-2023 tillsynsbegäran.docx", "A 3793-2023")</f>
        <v/>
      </c>
      <c r="Y352">
        <f>HYPERLINK("https://klasma.github.io/Logging_1460/tillsynsmail/A 3793-2023 tillsynsbegäran mail.docx", "A 3793-2023")</f>
        <v/>
      </c>
    </row>
    <row r="353" ht="15" customHeight="1">
      <c r="A353" t="inlineStr">
        <is>
          <t>A 4312-2023</t>
        </is>
      </c>
      <c r="B353" s="1" t="n">
        <v>44953</v>
      </c>
      <c r="C353" s="1" t="n">
        <v>45586</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12076-2023</t>
        </is>
      </c>
      <c r="B354" s="1" t="n">
        <v>44997</v>
      </c>
      <c r="C354" s="1" t="n">
        <v>45586</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12617-2023</t>
        </is>
      </c>
      <c r="B355" s="1" t="n">
        <v>45000</v>
      </c>
      <c r="C355" s="1" t="n">
        <v>45586</v>
      </c>
      <c r="D355" t="inlineStr">
        <is>
          <t>VÄSTRA GÖTALANDS LÄN</t>
        </is>
      </c>
      <c r="E355" t="inlineStr">
        <is>
          <t>LILLA EDET</t>
        </is>
      </c>
      <c r="G355" t="n">
        <v>10.2</v>
      </c>
      <c r="H355" t="n">
        <v>0</v>
      </c>
      <c r="I355" t="n">
        <v>1</v>
      </c>
      <c r="J355" t="n">
        <v>1</v>
      </c>
      <c r="K355" t="n">
        <v>0</v>
      </c>
      <c r="L355" t="n">
        <v>0</v>
      </c>
      <c r="M355" t="n">
        <v>0</v>
      </c>
      <c r="N355" t="n">
        <v>0</v>
      </c>
      <c r="O355" t="n">
        <v>1</v>
      </c>
      <c r="P355" t="n">
        <v>0</v>
      </c>
      <c r="Q355" t="n">
        <v>2</v>
      </c>
      <c r="R355" s="2" t="inlineStr">
        <is>
          <t>Loppstarr
Dvärghäxört</t>
        </is>
      </c>
      <c r="S355">
        <f>HYPERLINK("https://klasma.github.io/Logging_1462/artfynd/A 12617-2023 artfynd.xlsx", "A 12617-2023")</f>
        <v/>
      </c>
      <c r="T355">
        <f>HYPERLINK("https://klasma.github.io/Logging_1462/kartor/A 12617-2023 karta.png", "A 12617-2023")</f>
        <v/>
      </c>
      <c r="V355">
        <f>HYPERLINK("https://klasma.github.io/Logging_1462/klagomål/A 12617-2023 FSC-klagomål.docx", "A 12617-2023")</f>
        <v/>
      </c>
      <c r="W355">
        <f>HYPERLINK("https://klasma.github.io/Logging_1462/klagomålsmail/A 12617-2023 FSC-klagomål mail.docx", "A 12617-2023")</f>
        <v/>
      </c>
      <c r="X355">
        <f>HYPERLINK("https://klasma.github.io/Logging_1462/tillsyn/A 12617-2023 tillsynsbegäran.docx", "A 12617-2023")</f>
        <v/>
      </c>
      <c r="Y355">
        <f>HYPERLINK("https://klasma.github.io/Logging_1462/tillsynsmail/A 12617-2023 tillsynsbegäran mail.docx", "A 12617-2023")</f>
        <v/>
      </c>
    </row>
    <row r="356" ht="15" customHeight="1">
      <c r="A356" t="inlineStr">
        <is>
          <t>A 12658-2023</t>
        </is>
      </c>
      <c r="B356" s="1" t="n">
        <v>45000</v>
      </c>
      <c r="C356" s="1" t="n">
        <v>45586</v>
      </c>
      <c r="D356" t="inlineStr">
        <is>
          <t>VÄSTRA GÖTALANDS LÄN</t>
        </is>
      </c>
      <c r="E356" t="inlineStr">
        <is>
          <t>GÖTENE</t>
        </is>
      </c>
      <c r="G356" t="n">
        <v>1.2</v>
      </c>
      <c r="H356" t="n">
        <v>1</v>
      </c>
      <c r="I356" t="n">
        <v>0</v>
      </c>
      <c r="J356" t="n">
        <v>1</v>
      </c>
      <c r="K356" t="n">
        <v>0</v>
      </c>
      <c r="L356" t="n">
        <v>0</v>
      </c>
      <c r="M356" t="n">
        <v>1</v>
      </c>
      <c r="N356" t="n">
        <v>0</v>
      </c>
      <c r="O356" t="n">
        <v>2</v>
      </c>
      <c r="P356" t="n">
        <v>1</v>
      </c>
      <c r="Q356" t="n">
        <v>2</v>
      </c>
      <c r="R356" s="2" t="inlineStr">
        <is>
          <t>Skogsalm
Gulsparv</t>
        </is>
      </c>
      <c r="S356">
        <f>HYPERLINK("https://klasma.github.io/Logging_1471/artfynd/A 12658-2023 artfynd.xlsx", "A 12658-2023")</f>
        <v/>
      </c>
      <c r="T356">
        <f>HYPERLINK("https://klasma.github.io/Logging_1471/kartor/A 12658-2023 karta.png", "A 12658-2023")</f>
        <v/>
      </c>
      <c r="V356">
        <f>HYPERLINK("https://klasma.github.io/Logging_1471/klagomål/A 12658-2023 FSC-klagomål.docx", "A 12658-2023")</f>
        <v/>
      </c>
      <c r="W356">
        <f>HYPERLINK("https://klasma.github.io/Logging_1471/klagomålsmail/A 12658-2023 FSC-klagomål mail.docx", "A 12658-2023")</f>
        <v/>
      </c>
      <c r="X356">
        <f>HYPERLINK("https://klasma.github.io/Logging_1471/tillsyn/A 12658-2023 tillsynsbegäran.docx", "A 12658-2023")</f>
        <v/>
      </c>
      <c r="Y356">
        <f>HYPERLINK("https://klasma.github.io/Logging_1471/tillsynsmail/A 12658-2023 tillsynsbegäran mail.docx", "A 12658-2023")</f>
        <v/>
      </c>
      <c r="Z356">
        <f>HYPERLINK("https://klasma.github.io/Logging_1471/fåglar/A 12658-2023 prioriterade fågelarter.docx", "A 12658-2023")</f>
        <v/>
      </c>
    </row>
    <row r="357" ht="15" customHeight="1">
      <c r="A357" t="inlineStr">
        <is>
          <t>A 13936-2023</t>
        </is>
      </c>
      <c r="B357" s="1" t="n">
        <v>45008</v>
      </c>
      <c r="C357" s="1" t="n">
        <v>45586</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14042-2023</t>
        </is>
      </c>
      <c r="B358" s="1" t="n">
        <v>45008</v>
      </c>
      <c r="C358" s="1" t="n">
        <v>45586</v>
      </c>
      <c r="D358" t="inlineStr">
        <is>
          <t>VÄSTRA GÖTALANDS LÄN</t>
        </is>
      </c>
      <c r="E358" t="inlineStr">
        <is>
          <t>PARTILLE</t>
        </is>
      </c>
      <c r="F358" t="inlineStr">
        <is>
          <t>Kommuner</t>
        </is>
      </c>
      <c r="G358" t="n">
        <v>4.1</v>
      </c>
      <c r="H358" t="n">
        <v>2</v>
      </c>
      <c r="I358" t="n">
        <v>0</v>
      </c>
      <c r="J358" t="n">
        <v>0</v>
      </c>
      <c r="K358" t="n">
        <v>0</v>
      </c>
      <c r="L358" t="n">
        <v>0</v>
      </c>
      <c r="M358" t="n">
        <v>0</v>
      </c>
      <c r="N358" t="n">
        <v>0</v>
      </c>
      <c r="O358" t="n">
        <v>0</v>
      </c>
      <c r="P358" t="n">
        <v>0</v>
      </c>
      <c r="Q358" t="n">
        <v>2</v>
      </c>
      <c r="R358" s="2" t="inlineStr">
        <is>
          <t>Lopplummer
Revlummer</t>
        </is>
      </c>
      <c r="S358">
        <f>HYPERLINK("https://klasma.github.io/Logging_1402/artfynd/A 14042-2023 artfynd.xlsx", "A 14042-2023")</f>
        <v/>
      </c>
      <c r="T358">
        <f>HYPERLINK("https://klasma.github.io/Logging_1402/kartor/A 14042-2023 karta.png", "A 14042-2023")</f>
        <v/>
      </c>
      <c r="V358">
        <f>HYPERLINK("https://klasma.github.io/Logging_1402/klagomål/A 14042-2023 FSC-klagomål.docx", "A 14042-2023")</f>
        <v/>
      </c>
      <c r="W358">
        <f>HYPERLINK("https://klasma.github.io/Logging_1402/klagomålsmail/A 14042-2023 FSC-klagomål mail.docx", "A 14042-2023")</f>
        <v/>
      </c>
      <c r="X358">
        <f>HYPERLINK("https://klasma.github.io/Logging_1402/tillsyn/A 14042-2023 tillsynsbegäran.docx", "A 14042-2023")</f>
        <v/>
      </c>
      <c r="Y358">
        <f>HYPERLINK("https://klasma.github.io/Logging_1402/tillsynsmail/A 14042-2023 tillsynsbegäran mail.docx", "A 14042-2023")</f>
        <v/>
      </c>
    </row>
    <row r="359" ht="15" customHeight="1">
      <c r="A359" t="inlineStr">
        <is>
          <t>A 14947-2023</t>
        </is>
      </c>
      <c r="B359" s="1" t="n">
        <v>45015</v>
      </c>
      <c r="C359" s="1" t="n">
        <v>45586</v>
      </c>
      <c r="D359" t="inlineStr">
        <is>
          <t>VÄSTRA GÖTALANDS LÄN</t>
        </is>
      </c>
      <c r="E359" t="inlineStr">
        <is>
          <t>MARIESTAD</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HYPERLINK("https://klasma.github.io/Logging_1493/artfynd/A 14947-2023 artfynd.xlsx", "A 14947-2023")</f>
        <v/>
      </c>
      <c r="T359">
        <f>HYPERLINK("https://klasma.github.io/Logging_1493/kartor/A 14947-2023 karta.png", "A 14947-2023")</f>
        <v/>
      </c>
      <c r="U359">
        <f>HYPERLINK("https://klasma.github.io/Logging_1493/knärot/A 14947-2023 karta knärot.png", "A 14947-2023")</f>
        <v/>
      </c>
      <c r="V359">
        <f>HYPERLINK("https://klasma.github.io/Logging_1493/klagomål/A 14947-2023 FSC-klagomål.docx", "A 14947-2023")</f>
        <v/>
      </c>
      <c r="W359">
        <f>HYPERLINK("https://klasma.github.io/Logging_1493/klagomålsmail/A 14947-2023 FSC-klagomål mail.docx", "A 14947-2023")</f>
        <v/>
      </c>
      <c r="X359">
        <f>HYPERLINK("https://klasma.github.io/Logging_1493/tillsyn/A 14947-2023 tillsynsbegäran.docx", "A 14947-2023")</f>
        <v/>
      </c>
      <c r="Y359">
        <f>HYPERLINK("https://klasma.github.io/Logging_1493/tillsynsmail/A 14947-2023 tillsynsbegäran mail.docx", "A 14947-2023")</f>
        <v/>
      </c>
    </row>
    <row r="360" ht="15" customHeight="1">
      <c r="A360" t="inlineStr">
        <is>
          <t>A 17693-2023</t>
        </is>
      </c>
      <c r="B360" s="1" t="n">
        <v>45037</v>
      </c>
      <c r="C360" s="1" t="n">
        <v>45586</v>
      </c>
      <c r="D360" t="inlineStr">
        <is>
          <t>VÄSTRA GÖTALANDS LÄN</t>
        </is>
      </c>
      <c r="E360" t="inlineStr">
        <is>
          <t>MELLERUD</t>
        </is>
      </c>
      <c r="G360" t="n">
        <v>11.3</v>
      </c>
      <c r="H360" t="n">
        <v>0</v>
      </c>
      <c r="I360" t="n">
        <v>0</v>
      </c>
      <c r="J360" t="n">
        <v>2</v>
      </c>
      <c r="K360" t="n">
        <v>0</v>
      </c>
      <c r="L360" t="n">
        <v>0</v>
      </c>
      <c r="M360" t="n">
        <v>0</v>
      </c>
      <c r="N360" t="n">
        <v>0</v>
      </c>
      <c r="O360" t="n">
        <v>2</v>
      </c>
      <c r="P360" t="n">
        <v>0</v>
      </c>
      <c r="Q360" t="n">
        <v>2</v>
      </c>
      <c r="R360" s="2" t="inlineStr">
        <is>
          <t>Bergjohannesört
Vippärt</t>
        </is>
      </c>
      <c r="S360">
        <f>HYPERLINK("https://klasma.github.io/Logging_1461/artfynd/A 17693-2023 artfynd.xlsx", "A 17693-2023")</f>
        <v/>
      </c>
      <c r="T360">
        <f>HYPERLINK("https://klasma.github.io/Logging_1461/kartor/A 17693-2023 karta.png", "A 17693-2023")</f>
        <v/>
      </c>
      <c r="V360">
        <f>HYPERLINK("https://klasma.github.io/Logging_1461/klagomål/A 17693-2023 FSC-klagomål.docx", "A 17693-2023")</f>
        <v/>
      </c>
      <c r="W360">
        <f>HYPERLINK("https://klasma.github.io/Logging_1461/klagomålsmail/A 17693-2023 FSC-klagomål mail.docx", "A 17693-2023")</f>
        <v/>
      </c>
      <c r="X360">
        <f>HYPERLINK("https://klasma.github.io/Logging_1461/tillsyn/A 17693-2023 tillsynsbegäran.docx", "A 17693-2023")</f>
        <v/>
      </c>
      <c r="Y360">
        <f>HYPERLINK("https://klasma.github.io/Logging_1461/tillsynsmail/A 17693-2023 tillsynsbegäran mail.docx", "A 17693-2023")</f>
        <v/>
      </c>
    </row>
    <row r="361" ht="15" customHeight="1">
      <c r="A361" t="inlineStr">
        <is>
          <t>A 20586-2023</t>
        </is>
      </c>
      <c r="B361" s="1" t="n">
        <v>45057</v>
      </c>
      <c r="C361" s="1" t="n">
        <v>45586</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20586-2023 artfynd.xlsx", "A 20586-2023")</f>
        <v/>
      </c>
      <c r="T361">
        <f>HYPERLINK("https://klasma.github.io/Logging_1440/kartor/A 20586-2023 karta.png", "A 20586-2023")</f>
        <v/>
      </c>
      <c r="V361">
        <f>HYPERLINK("https://klasma.github.io/Logging_1440/klagomål/A 20586-2023 FSC-klagomål.docx", "A 20586-2023")</f>
        <v/>
      </c>
      <c r="W361">
        <f>HYPERLINK("https://klasma.github.io/Logging_1440/klagomålsmail/A 20586-2023 FSC-klagomål mail.docx", "A 20586-2023")</f>
        <v/>
      </c>
      <c r="X361">
        <f>HYPERLINK("https://klasma.github.io/Logging_1440/tillsyn/A 20586-2023 tillsynsbegäran.docx", "A 20586-2023")</f>
        <v/>
      </c>
      <c r="Y361">
        <f>HYPERLINK("https://klasma.github.io/Logging_1440/tillsynsmail/A 20586-2023 tillsynsbegäran mail.docx", "A 20586-2023")</f>
        <v/>
      </c>
      <c r="Z361">
        <f>HYPERLINK("https://klasma.github.io/Logging_1440/fåglar/A 20586-2023 prioriterade fågelarter.docx", "A 20586-2023")</f>
        <v/>
      </c>
    </row>
    <row r="362" ht="15" customHeight="1">
      <c r="A362" t="inlineStr">
        <is>
          <t>A 23423-2023</t>
        </is>
      </c>
      <c r="B362" s="1" t="n">
        <v>45076</v>
      </c>
      <c r="C362" s="1" t="n">
        <v>45586</v>
      </c>
      <c r="D362" t="inlineStr">
        <is>
          <t>VÄSTRA GÖTALANDS LÄN</t>
        </is>
      </c>
      <c r="E362" t="inlineStr">
        <is>
          <t>GÖTENE</t>
        </is>
      </c>
      <c r="G362" t="n">
        <v>2.7</v>
      </c>
      <c r="H362" t="n">
        <v>0</v>
      </c>
      <c r="I362" t="n">
        <v>0</v>
      </c>
      <c r="J362" t="n">
        <v>0</v>
      </c>
      <c r="K362" t="n">
        <v>2</v>
      </c>
      <c r="L362" t="n">
        <v>0</v>
      </c>
      <c r="M362" t="n">
        <v>0</v>
      </c>
      <c r="N362" t="n">
        <v>0</v>
      </c>
      <c r="O362" t="n">
        <v>2</v>
      </c>
      <c r="P362" t="n">
        <v>2</v>
      </c>
      <c r="Q362" t="n">
        <v>2</v>
      </c>
      <c r="R362" s="2" t="inlineStr">
        <is>
          <t>Blyspindling agg.
Kopparspindling</t>
        </is>
      </c>
      <c r="S362">
        <f>HYPERLINK("https://klasma.github.io/Logging_1471/artfynd/A 23423-2023 artfynd.xlsx", "A 23423-2023")</f>
        <v/>
      </c>
      <c r="T362">
        <f>HYPERLINK("https://klasma.github.io/Logging_1471/kartor/A 23423-2023 karta.png", "A 23423-2023")</f>
        <v/>
      </c>
      <c r="V362">
        <f>HYPERLINK("https://klasma.github.io/Logging_1471/klagomål/A 23423-2023 FSC-klagomål.docx", "A 23423-2023")</f>
        <v/>
      </c>
      <c r="W362">
        <f>HYPERLINK("https://klasma.github.io/Logging_1471/klagomålsmail/A 23423-2023 FSC-klagomål mail.docx", "A 23423-2023")</f>
        <v/>
      </c>
      <c r="X362">
        <f>HYPERLINK("https://klasma.github.io/Logging_1471/tillsyn/A 23423-2023 tillsynsbegäran.docx", "A 23423-2023")</f>
        <v/>
      </c>
      <c r="Y362">
        <f>HYPERLINK("https://klasma.github.io/Logging_1471/tillsynsmail/A 23423-2023 tillsynsbegäran mail.docx", "A 23423-2023")</f>
        <v/>
      </c>
    </row>
    <row r="363" ht="15" customHeight="1">
      <c r="A363" t="inlineStr">
        <is>
          <t>A 27184-2023</t>
        </is>
      </c>
      <c r="B363" s="1" t="n">
        <v>45096</v>
      </c>
      <c r="C363" s="1" t="n">
        <v>45586</v>
      </c>
      <c r="D363" t="inlineStr">
        <is>
          <t>VÄSTRA GÖTALANDS LÄN</t>
        </is>
      </c>
      <c r="E363" t="inlineStr">
        <is>
          <t>TRANEMO</t>
        </is>
      </c>
      <c r="F363" t="inlineStr">
        <is>
          <t>Kommuner</t>
        </is>
      </c>
      <c r="G363" t="n">
        <v>1.8</v>
      </c>
      <c r="H363" t="n">
        <v>0</v>
      </c>
      <c r="I363" t="n">
        <v>1</v>
      </c>
      <c r="J363" t="n">
        <v>1</v>
      </c>
      <c r="K363" t="n">
        <v>0</v>
      </c>
      <c r="L363" t="n">
        <v>0</v>
      </c>
      <c r="M363" t="n">
        <v>0</v>
      </c>
      <c r="N363" t="n">
        <v>0</v>
      </c>
      <c r="O363" t="n">
        <v>1</v>
      </c>
      <c r="P363" t="n">
        <v>0</v>
      </c>
      <c r="Q363" t="n">
        <v>2</v>
      </c>
      <c r="R363" s="2" t="inlineStr">
        <is>
          <t>Brunpudrad nållav
Stor revmossa</t>
        </is>
      </c>
      <c r="S363">
        <f>HYPERLINK("https://klasma.github.io/Logging_1452/artfynd/A 27184-2023 artfynd.xlsx", "A 27184-2023")</f>
        <v/>
      </c>
      <c r="T363">
        <f>HYPERLINK("https://klasma.github.io/Logging_1452/kartor/A 27184-2023 karta.png", "A 27184-2023")</f>
        <v/>
      </c>
      <c r="V363">
        <f>HYPERLINK("https://klasma.github.io/Logging_1452/klagomål/A 27184-2023 FSC-klagomål.docx", "A 27184-2023")</f>
        <v/>
      </c>
      <c r="W363">
        <f>HYPERLINK("https://klasma.github.io/Logging_1452/klagomålsmail/A 27184-2023 FSC-klagomål mail.docx", "A 27184-2023")</f>
        <v/>
      </c>
      <c r="X363">
        <f>HYPERLINK("https://klasma.github.io/Logging_1452/tillsyn/A 27184-2023 tillsynsbegäran.docx", "A 27184-2023")</f>
        <v/>
      </c>
      <c r="Y363">
        <f>HYPERLINK("https://klasma.github.io/Logging_1452/tillsynsmail/A 27184-2023 tillsynsbegäran mail.docx", "A 27184-2023")</f>
        <v/>
      </c>
    </row>
    <row r="364" ht="15" customHeight="1">
      <c r="A364" t="inlineStr">
        <is>
          <t>A 29688-2023</t>
        </is>
      </c>
      <c r="B364" s="1" t="n">
        <v>45107</v>
      </c>
      <c r="C364" s="1" t="n">
        <v>45586</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Druvfingersvamp
Ängsvaxskivling</t>
        </is>
      </c>
      <c r="S364">
        <f>HYPERLINK("https://klasma.github.io/Logging_1485/artfynd/A 29688-2023 artfynd.xlsx", "A 29688-2023")</f>
        <v/>
      </c>
      <c r="T364">
        <f>HYPERLINK("https://klasma.github.io/Logging_1485/kartor/A 29688-2023 karta.png", "A 29688-2023")</f>
        <v/>
      </c>
      <c r="V364">
        <f>HYPERLINK("https://klasma.github.io/Logging_1485/klagomål/A 29688-2023 FSC-klagomål.docx", "A 29688-2023")</f>
        <v/>
      </c>
      <c r="W364">
        <f>HYPERLINK("https://klasma.github.io/Logging_1485/klagomålsmail/A 29688-2023 FSC-klagomål mail.docx", "A 29688-2023")</f>
        <v/>
      </c>
      <c r="X364">
        <f>HYPERLINK("https://klasma.github.io/Logging_1485/tillsyn/A 29688-2023 tillsynsbegäran.docx", "A 29688-2023")</f>
        <v/>
      </c>
      <c r="Y364">
        <f>HYPERLINK("https://klasma.github.io/Logging_1485/tillsynsmail/A 29688-2023 tillsynsbegäran mail.docx", "A 29688-2023")</f>
        <v/>
      </c>
    </row>
    <row r="365" ht="15" customHeight="1">
      <c r="A365" t="inlineStr">
        <is>
          <t>A 34252-2023</t>
        </is>
      </c>
      <c r="B365" s="1" t="n">
        <v>45138</v>
      </c>
      <c r="C365" s="1" t="n">
        <v>45586</v>
      </c>
      <c r="D365" t="inlineStr">
        <is>
          <t>VÄSTRA GÖTALANDS LÄN</t>
        </is>
      </c>
      <c r="E365" t="inlineStr">
        <is>
          <t>FALKÖPING</t>
        </is>
      </c>
      <c r="G365" t="n">
        <v>1</v>
      </c>
      <c r="H365" t="n">
        <v>1</v>
      </c>
      <c r="I365" t="n">
        <v>1</v>
      </c>
      <c r="J365" t="n">
        <v>0</v>
      </c>
      <c r="K365" t="n">
        <v>0</v>
      </c>
      <c r="L365" t="n">
        <v>0</v>
      </c>
      <c r="M365" t="n">
        <v>0</v>
      </c>
      <c r="N365" t="n">
        <v>0</v>
      </c>
      <c r="O365" t="n">
        <v>0</v>
      </c>
      <c r="P365" t="n">
        <v>0</v>
      </c>
      <c r="Q365" t="n">
        <v>2</v>
      </c>
      <c r="R365" s="2" t="inlineStr">
        <is>
          <t>Myskmadra
Blåsippa</t>
        </is>
      </c>
      <c r="S365">
        <f>HYPERLINK("https://klasma.github.io/Logging_1499/artfynd/A 34252-2023 artfynd.xlsx", "A 34252-2023")</f>
        <v/>
      </c>
      <c r="T365">
        <f>HYPERLINK("https://klasma.github.io/Logging_1499/kartor/A 34252-2023 karta.png", "A 34252-2023")</f>
        <v/>
      </c>
      <c r="V365">
        <f>HYPERLINK("https://klasma.github.io/Logging_1499/klagomål/A 34252-2023 FSC-klagomål.docx", "A 34252-2023")</f>
        <v/>
      </c>
      <c r="W365">
        <f>HYPERLINK("https://klasma.github.io/Logging_1499/klagomålsmail/A 34252-2023 FSC-klagomål mail.docx", "A 34252-2023")</f>
        <v/>
      </c>
      <c r="X365">
        <f>HYPERLINK("https://klasma.github.io/Logging_1499/tillsyn/A 34252-2023 tillsynsbegäran.docx", "A 34252-2023")</f>
        <v/>
      </c>
      <c r="Y365">
        <f>HYPERLINK("https://klasma.github.io/Logging_1499/tillsynsmail/A 34252-2023 tillsynsbegäran mail.docx", "A 34252-2023")</f>
        <v/>
      </c>
    </row>
    <row r="366" ht="15" customHeight="1">
      <c r="A366" t="inlineStr">
        <is>
          <t>A 35326-2023</t>
        </is>
      </c>
      <c r="B366" s="1" t="n">
        <v>45146</v>
      </c>
      <c r="C366" s="1" t="n">
        <v>45586</v>
      </c>
      <c r="D366" t="inlineStr">
        <is>
          <t>VÄSTRA GÖTALANDS LÄN</t>
        </is>
      </c>
      <c r="E366" t="inlineStr">
        <is>
          <t>STRÖMSTAD</t>
        </is>
      </c>
      <c r="G366" t="n">
        <v>6.3</v>
      </c>
      <c r="H366" t="n">
        <v>1</v>
      </c>
      <c r="I366" t="n">
        <v>1</v>
      </c>
      <c r="J366" t="n">
        <v>0</v>
      </c>
      <c r="K366" t="n">
        <v>0</v>
      </c>
      <c r="L366" t="n">
        <v>0</v>
      </c>
      <c r="M366" t="n">
        <v>0</v>
      </c>
      <c r="N366" t="n">
        <v>0</v>
      </c>
      <c r="O366" t="n">
        <v>0</v>
      </c>
      <c r="P366" t="n">
        <v>0</v>
      </c>
      <c r="Q366" t="n">
        <v>2</v>
      </c>
      <c r="R366" s="2" t="inlineStr">
        <is>
          <t>Västlig hakmossa
Kungsfågel</t>
        </is>
      </c>
      <c r="S366">
        <f>HYPERLINK("https://klasma.github.io/Logging_1486/artfynd/A 35326-2023 artfynd.xlsx", "A 35326-2023")</f>
        <v/>
      </c>
      <c r="T366">
        <f>HYPERLINK("https://klasma.github.io/Logging_1486/kartor/A 35326-2023 karta.png", "A 35326-2023")</f>
        <v/>
      </c>
      <c r="V366">
        <f>HYPERLINK("https://klasma.github.io/Logging_1486/klagomål/A 35326-2023 FSC-klagomål.docx", "A 35326-2023")</f>
        <v/>
      </c>
      <c r="W366">
        <f>HYPERLINK("https://klasma.github.io/Logging_1486/klagomålsmail/A 35326-2023 FSC-klagomål mail.docx", "A 35326-2023")</f>
        <v/>
      </c>
      <c r="X366">
        <f>HYPERLINK("https://klasma.github.io/Logging_1486/tillsyn/A 35326-2023 tillsynsbegäran.docx", "A 35326-2023")</f>
        <v/>
      </c>
      <c r="Y366">
        <f>HYPERLINK("https://klasma.github.io/Logging_1486/tillsynsmail/A 35326-2023 tillsynsbegäran mail.docx", "A 35326-2023")</f>
        <v/>
      </c>
      <c r="Z366">
        <f>HYPERLINK("https://klasma.github.io/Logging_1486/fåglar/A 35326-2023 prioriterade fågelarter.docx", "A 35326-2023")</f>
        <v/>
      </c>
    </row>
    <row r="367" ht="15" customHeight="1">
      <c r="A367" t="inlineStr">
        <is>
          <t>A 36898-2023</t>
        </is>
      </c>
      <c r="B367" s="1" t="n">
        <v>45154</v>
      </c>
      <c r="C367" s="1" t="n">
        <v>45586</v>
      </c>
      <c r="D367" t="inlineStr">
        <is>
          <t>VÄSTRA GÖTALANDS LÄN</t>
        </is>
      </c>
      <c r="E367" t="inlineStr">
        <is>
          <t>MUNKEDAL</t>
        </is>
      </c>
      <c r="G367" t="n">
        <v>34.3</v>
      </c>
      <c r="H367" t="n">
        <v>2</v>
      </c>
      <c r="I367" t="n">
        <v>0</v>
      </c>
      <c r="J367" t="n">
        <v>0</v>
      </c>
      <c r="K367" t="n">
        <v>0</v>
      </c>
      <c r="L367" t="n">
        <v>0</v>
      </c>
      <c r="M367" t="n">
        <v>0</v>
      </c>
      <c r="N367" t="n">
        <v>0</v>
      </c>
      <c r="O367" t="n">
        <v>0</v>
      </c>
      <c r="P367" t="n">
        <v>0</v>
      </c>
      <c r="Q367" t="n">
        <v>2</v>
      </c>
      <c r="R367" s="2" t="inlineStr">
        <is>
          <t>Lopplummer
Revlummer</t>
        </is>
      </c>
      <c r="S367">
        <f>HYPERLINK("https://klasma.github.io/Logging_1430/artfynd/A 36898-2023 artfynd.xlsx", "A 36898-2023")</f>
        <v/>
      </c>
      <c r="T367">
        <f>HYPERLINK("https://klasma.github.io/Logging_1430/kartor/A 36898-2023 karta.png", "A 36898-2023")</f>
        <v/>
      </c>
      <c r="V367">
        <f>HYPERLINK("https://klasma.github.io/Logging_1430/klagomål/A 36898-2023 FSC-klagomål.docx", "A 36898-2023")</f>
        <v/>
      </c>
      <c r="W367">
        <f>HYPERLINK("https://klasma.github.io/Logging_1430/klagomålsmail/A 36898-2023 FSC-klagomål mail.docx", "A 36898-2023")</f>
        <v/>
      </c>
      <c r="X367">
        <f>HYPERLINK("https://klasma.github.io/Logging_1430/tillsyn/A 36898-2023 tillsynsbegäran.docx", "A 36898-2023")</f>
        <v/>
      </c>
      <c r="Y367">
        <f>HYPERLINK("https://klasma.github.io/Logging_1430/tillsynsmail/A 36898-2023 tillsynsbegäran mail.docx", "A 36898-2023")</f>
        <v/>
      </c>
    </row>
    <row r="368" ht="15" customHeight="1">
      <c r="A368" t="inlineStr">
        <is>
          <t>A 37409-2023</t>
        </is>
      </c>
      <c r="B368" s="1" t="n">
        <v>45156</v>
      </c>
      <c r="C368" s="1" t="n">
        <v>45586</v>
      </c>
      <c r="D368" t="inlineStr">
        <is>
          <t>VÄSTRA GÖTALANDS LÄN</t>
        </is>
      </c>
      <c r="E368" t="inlineStr">
        <is>
          <t>HERRLJUNGA</t>
        </is>
      </c>
      <c r="G368" t="n">
        <v>5.7</v>
      </c>
      <c r="H368" t="n">
        <v>0</v>
      </c>
      <c r="I368" t="n">
        <v>2</v>
      </c>
      <c r="J368" t="n">
        <v>0</v>
      </c>
      <c r="K368" t="n">
        <v>0</v>
      </c>
      <c r="L368" t="n">
        <v>0</v>
      </c>
      <c r="M368" t="n">
        <v>0</v>
      </c>
      <c r="N368" t="n">
        <v>0</v>
      </c>
      <c r="O368" t="n">
        <v>0</v>
      </c>
      <c r="P368" t="n">
        <v>0</v>
      </c>
      <c r="Q368" t="n">
        <v>2</v>
      </c>
      <c r="R368" s="2" t="inlineStr">
        <is>
          <t>Fällmossa
Mandelriska</t>
        </is>
      </c>
      <c r="S368">
        <f>HYPERLINK("https://klasma.github.io/Logging_1466/artfynd/A 37409-2023 artfynd.xlsx", "A 37409-2023")</f>
        <v/>
      </c>
      <c r="T368">
        <f>HYPERLINK("https://klasma.github.io/Logging_1466/kartor/A 37409-2023 karta.png", "A 37409-2023")</f>
        <v/>
      </c>
      <c r="V368">
        <f>HYPERLINK("https://klasma.github.io/Logging_1466/klagomål/A 37409-2023 FSC-klagomål.docx", "A 37409-2023")</f>
        <v/>
      </c>
      <c r="W368">
        <f>HYPERLINK("https://klasma.github.io/Logging_1466/klagomålsmail/A 37409-2023 FSC-klagomål mail.docx", "A 37409-2023")</f>
        <v/>
      </c>
      <c r="X368">
        <f>HYPERLINK("https://klasma.github.io/Logging_1466/tillsyn/A 37409-2023 tillsynsbegäran.docx", "A 37409-2023")</f>
        <v/>
      </c>
      <c r="Y368">
        <f>HYPERLINK("https://klasma.github.io/Logging_1466/tillsynsmail/A 37409-2023 tillsynsbegäran mail.docx", "A 37409-2023")</f>
        <v/>
      </c>
    </row>
    <row r="369" ht="15" customHeight="1">
      <c r="A369" t="inlineStr">
        <is>
          <t>A 44466-2023</t>
        </is>
      </c>
      <c r="B369" s="1" t="n">
        <v>45183</v>
      </c>
      <c r="C369" s="1" t="n">
        <v>45586</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43626-2023</t>
        </is>
      </c>
      <c r="B370" s="1" t="n">
        <v>45184</v>
      </c>
      <c r="C370" s="1" t="n">
        <v>45586</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44753-2023</t>
        </is>
      </c>
      <c r="B371" s="1" t="n">
        <v>45184</v>
      </c>
      <c r="C371" s="1" t="n">
        <v>45586</v>
      </c>
      <c r="D371" t="inlineStr">
        <is>
          <t>VÄSTRA GÖTALANDS LÄN</t>
        </is>
      </c>
      <c r="E371" t="inlineStr">
        <is>
          <t>BENGTSFORS</t>
        </is>
      </c>
      <c r="G371" t="n">
        <v>2.2</v>
      </c>
      <c r="H371" t="n">
        <v>2</v>
      </c>
      <c r="I371" t="n">
        <v>0</v>
      </c>
      <c r="J371" t="n">
        <v>0</v>
      </c>
      <c r="K371" t="n">
        <v>1</v>
      </c>
      <c r="L371" t="n">
        <v>0</v>
      </c>
      <c r="M371" t="n">
        <v>0</v>
      </c>
      <c r="N371" t="n">
        <v>0</v>
      </c>
      <c r="O371" t="n">
        <v>1</v>
      </c>
      <c r="P371" t="n">
        <v>1</v>
      </c>
      <c r="Q371" t="n">
        <v>2</v>
      </c>
      <c r="R371" s="2" t="inlineStr">
        <is>
          <t>Knärot
Revlummer</t>
        </is>
      </c>
      <c r="S371">
        <f>HYPERLINK("https://klasma.github.io/Logging_1460/artfynd/A 44753-2023 artfynd.xlsx", "A 44753-2023")</f>
        <v/>
      </c>
      <c r="T371">
        <f>HYPERLINK("https://klasma.github.io/Logging_1460/kartor/A 44753-2023 karta.png", "A 44753-2023")</f>
        <v/>
      </c>
      <c r="U371">
        <f>HYPERLINK("https://klasma.github.io/Logging_1460/knärot/A 44753-2023 karta knärot.png", "A 44753-2023")</f>
        <v/>
      </c>
      <c r="V371">
        <f>HYPERLINK("https://klasma.github.io/Logging_1460/klagomål/A 44753-2023 FSC-klagomål.docx", "A 44753-2023")</f>
        <v/>
      </c>
      <c r="W371">
        <f>HYPERLINK("https://klasma.github.io/Logging_1460/klagomålsmail/A 44753-2023 FSC-klagomål mail.docx", "A 44753-2023")</f>
        <v/>
      </c>
      <c r="X371">
        <f>HYPERLINK("https://klasma.github.io/Logging_1460/tillsyn/A 44753-2023 tillsynsbegäran.docx", "A 44753-2023")</f>
        <v/>
      </c>
      <c r="Y371">
        <f>HYPERLINK("https://klasma.github.io/Logging_1460/tillsynsmail/A 44753-2023 tillsynsbegäran mail.docx", "A 44753-2023")</f>
        <v/>
      </c>
    </row>
    <row r="372" ht="15" customHeight="1">
      <c r="A372" t="inlineStr">
        <is>
          <t>A 46044-2023</t>
        </is>
      </c>
      <c r="B372" s="1" t="n">
        <v>45196</v>
      </c>
      <c r="C372" s="1" t="n">
        <v>45586</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47764-2023</t>
        </is>
      </c>
      <c r="B373" s="1" t="n">
        <v>45203</v>
      </c>
      <c r="C373" s="1" t="n">
        <v>45586</v>
      </c>
      <c r="D373" t="inlineStr">
        <is>
          <t>VÄSTRA GÖTALANDS LÄN</t>
        </is>
      </c>
      <c r="E373" t="inlineStr">
        <is>
          <t>MARIESTAD</t>
        </is>
      </c>
      <c r="G373" t="n">
        <v>0.7</v>
      </c>
      <c r="H373" t="n">
        <v>2</v>
      </c>
      <c r="I373" t="n">
        <v>0</v>
      </c>
      <c r="J373" t="n">
        <v>0</v>
      </c>
      <c r="K373" t="n">
        <v>0</v>
      </c>
      <c r="L373" t="n">
        <v>0</v>
      </c>
      <c r="M373" t="n">
        <v>0</v>
      </c>
      <c r="N373" t="n">
        <v>0</v>
      </c>
      <c r="O373" t="n">
        <v>0</v>
      </c>
      <c r="P373" t="n">
        <v>0</v>
      </c>
      <c r="Q373" t="n">
        <v>2</v>
      </c>
      <c r="R373" s="2" t="inlineStr">
        <is>
          <t>Blåsippa
Gullviva</t>
        </is>
      </c>
      <c r="S373">
        <f>HYPERLINK("https://klasma.github.io/Logging_1493/artfynd/A 47764-2023 artfynd.xlsx", "A 47764-2023")</f>
        <v/>
      </c>
      <c r="T373">
        <f>HYPERLINK("https://klasma.github.io/Logging_1493/kartor/A 47764-2023 karta.png", "A 47764-2023")</f>
        <v/>
      </c>
      <c r="V373">
        <f>HYPERLINK("https://klasma.github.io/Logging_1493/klagomål/A 47764-2023 FSC-klagomål.docx", "A 47764-2023")</f>
        <v/>
      </c>
      <c r="W373">
        <f>HYPERLINK("https://klasma.github.io/Logging_1493/klagomålsmail/A 47764-2023 FSC-klagomål mail.docx", "A 47764-2023")</f>
        <v/>
      </c>
      <c r="X373">
        <f>HYPERLINK("https://klasma.github.io/Logging_1493/tillsyn/A 47764-2023 tillsynsbegäran.docx", "A 47764-2023")</f>
        <v/>
      </c>
      <c r="Y373">
        <f>HYPERLINK("https://klasma.github.io/Logging_1493/tillsynsmail/A 47764-2023 tillsynsbegäran mail.docx", "A 47764-2023")</f>
        <v/>
      </c>
    </row>
    <row r="374" ht="15" customHeight="1">
      <c r="A374" t="inlineStr">
        <is>
          <t>A 49689-2023</t>
        </is>
      </c>
      <c r="B374" s="1" t="n">
        <v>45212</v>
      </c>
      <c r="C374" s="1" t="n">
        <v>45586</v>
      </c>
      <c r="D374" t="inlineStr">
        <is>
          <t>VÄSTRA GÖTALANDS LÄN</t>
        </is>
      </c>
      <c r="E374" t="inlineStr">
        <is>
          <t>BENGTSFORS</t>
        </is>
      </c>
      <c r="G374" t="n">
        <v>6.9</v>
      </c>
      <c r="H374" t="n">
        <v>1</v>
      </c>
      <c r="I374" t="n">
        <v>1</v>
      </c>
      <c r="J374" t="n">
        <v>0</v>
      </c>
      <c r="K374" t="n">
        <v>0</v>
      </c>
      <c r="L374" t="n">
        <v>0</v>
      </c>
      <c r="M374" t="n">
        <v>0</v>
      </c>
      <c r="N374" t="n">
        <v>0</v>
      </c>
      <c r="O374" t="n">
        <v>0</v>
      </c>
      <c r="P374" t="n">
        <v>0</v>
      </c>
      <c r="Q374" t="n">
        <v>2</v>
      </c>
      <c r="R374" s="2" t="inlineStr">
        <is>
          <t>Dropptaggsvamp
Revlummer</t>
        </is>
      </c>
      <c r="S374">
        <f>HYPERLINK("https://klasma.github.io/Logging_1460/artfynd/A 49689-2023 artfynd.xlsx", "A 49689-2023")</f>
        <v/>
      </c>
      <c r="T374">
        <f>HYPERLINK("https://klasma.github.io/Logging_1460/kartor/A 49689-2023 karta.png", "A 49689-2023")</f>
        <v/>
      </c>
      <c r="V374">
        <f>HYPERLINK("https://klasma.github.io/Logging_1460/klagomål/A 49689-2023 FSC-klagomål.docx", "A 49689-2023")</f>
        <v/>
      </c>
      <c r="W374">
        <f>HYPERLINK("https://klasma.github.io/Logging_1460/klagomålsmail/A 49689-2023 FSC-klagomål mail.docx", "A 49689-2023")</f>
        <v/>
      </c>
      <c r="X374">
        <f>HYPERLINK("https://klasma.github.io/Logging_1460/tillsyn/A 49689-2023 tillsynsbegäran.docx", "A 49689-2023")</f>
        <v/>
      </c>
      <c r="Y374">
        <f>HYPERLINK("https://klasma.github.io/Logging_1460/tillsynsmail/A 49689-2023 tillsynsbegäran mail.docx", "A 49689-2023")</f>
        <v/>
      </c>
    </row>
    <row r="375" ht="15" customHeight="1">
      <c r="A375" t="inlineStr">
        <is>
          <t>A 55725-2023</t>
        </is>
      </c>
      <c r="B375" s="1" t="n">
        <v>45232</v>
      </c>
      <c r="C375" s="1" t="n">
        <v>45586</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55708-2023</t>
        </is>
      </c>
      <c r="B376" s="1" t="n">
        <v>45239</v>
      </c>
      <c r="C376" s="1" t="n">
        <v>45586</v>
      </c>
      <c r="D376" t="inlineStr">
        <is>
          <t>VÄSTRA GÖTALANDS LÄN</t>
        </is>
      </c>
      <c r="E376" t="inlineStr">
        <is>
          <t>HÄRRYDA</t>
        </is>
      </c>
      <c r="G376" t="n">
        <v>5.4</v>
      </c>
      <c r="H376" t="n">
        <v>1</v>
      </c>
      <c r="I376" t="n">
        <v>0</v>
      </c>
      <c r="J376" t="n">
        <v>2</v>
      </c>
      <c r="K376" t="n">
        <v>0</v>
      </c>
      <c r="L376" t="n">
        <v>0</v>
      </c>
      <c r="M376" t="n">
        <v>0</v>
      </c>
      <c r="N376" t="n">
        <v>0</v>
      </c>
      <c r="O376" t="n">
        <v>2</v>
      </c>
      <c r="P376" t="n">
        <v>0</v>
      </c>
      <c r="Q376" t="n">
        <v>2</v>
      </c>
      <c r="R376" s="2" t="inlineStr">
        <is>
          <t>Grönhjon
Talltita</t>
        </is>
      </c>
      <c r="S376">
        <f>HYPERLINK("https://klasma.github.io/Logging_1401/artfynd/A 55708-2023 artfynd.xlsx", "A 55708-2023")</f>
        <v/>
      </c>
      <c r="T376">
        <f>HYPERLINK("https://klasma.github.io/Logging_1401/kartor/A 55708-2023 karta.png", "A 55708-2023")</f>
        <v/>
      </c>
      <c r="V376">
        <f>HYPERLINK("https://klasma.github.io/Logging_1401/klagomål/A 55708-2023 FSC-klagomål.docx", "A 55708-2023")</f>
        <v/>
      </c>
      <c r="W376">
        <f>HYPERLINK("https://klasma.github.io/Logging_1401/klagomålsmail/A 55708-2023 FSC-klagomål mail.docx", "A 55708-2023")</f>
        <v/>
      </c>
      <c r="X376">
        <f>HYPERLINK("https://klasma.github.io/Logging_1401/tillsyn/A 55708-2023 tillsynsbegäran.docx", "A 55708-2023")</f>
        <v/>
      </c>
      <c r="Y376">
        <f>HYPERLINK("https://klasma.github.io/Logging_1401/tillsynsmail/A 55708-2023 tillsynsbegäran mail.docx", "A 55708-2023")</f>
        <v/>
      </c>
      <c r="Z376">
        <f>HYPERLINK("https://klasma.github.io/Logging_1401/fåglar/A 55708-2023 prioriterade fågelarter.docx", "A 55708-2023")</f>
        <v/>
      </c>
    </row>
    <row r="377" ht="15" customHeight="1">
      <c r="A377" t="inlineStr">
        <is>
          <t>A 57511-2023</t>
        </is>
      </c>
      <c r="B377" s="1" t="n">
        <v>45242</v>
      </c>
      <c r="C377" s="1" t="n">
        <v>45586</v>
      </c>
      <c r="D377" t="inlineStr">
        <is>
          <t>VÄSTRA GÖTALANDS LÄN</t>
        </is>
      </c>
      <c r="E377" t="inlineStr">
        <is>
          <t>STRÖMSTAD</t>
        </is>
      </c>
      <c r="G377" t="n">
        <v>5.7</v>
      </c>
      <c r="H377" t="n">
        <v>2</v>
      </c>
      <c r="I377" t="n">
        <v>0</v>
      </c>
      <c r="J377" t="n">
        <v>1</v>
      </c>
      <c r="K377" t="n">
        <v>1</v>
      </c>
      <c r="L377" t="n">
        <v>0</v>
      </c>
      <c r="M377" t="n">
        <v>0</v>
      </c>
      <c r="N377" t="n">
        <v>0</v>
      </c>
      <c r="O377" t="n">
        <v>2</v>
      </c>
      <c r="P377" t="n">
        <v>1</v>
      </c>
      <c r="Q377" t="n">
        <v>2</v>
      </c>
      <c r="R377" s="2" t="inlineStr">
        <is>
          <t>Knärot
Spillkråka</t>
        </is>
      </c>
      <c r="S377">
        <f>HYPERLINK("https://klasma.github.io/Logging_1486/artfynd/A 57511-2023 artfynd.xlsx", "A 57511-2023")</f>
        <v/>
      </c>
      <c r="T377">
        <f>HYPERLINK("https://klasma.github.io/Logging_1486/kartor/A 57511-2023 karta.png", "A 57511-2023")</f>
        <v/>
      </c>
      <c r="U377">
        <f>HYPERLINK("https://klasma.github.io/Logging_1486/knärot/A 57511-2023 karta knärot.png", "A 57511-2023")</f>
        <v/>
      </c>
      <c r="V377">
        <f>HYPERLINK("https://klasma.github.io/Logging_1486/klagomål/A 57511-2023 FSC-klagomål.docx", "A 57511-2023")</f>
        <v/>
      </c>
      <c r="W377">
        <f>HYPERLINK("https://klasma.github.io/Logging_1486/klagomålsmail/A 57511-2023 FSC-klagomål mail.docx", "A 57511-2023")</f>
        <v/>
      </c>
      <c r="X377">
        <f>HYPERLINK("https://klasma.github.io/Logging_1486/tillsyn/A 57511-2023 tillsynsbegäran.docx", "A 57511-2023")</f>
        <v/>
      </c>
      <c r="Y377">
        <f>HYPERLINK("https://klasma.github.io/Logging_1486/tillsynsmail/A 57511-2023 tillsynsbegäran mail.docx", "A 57511-2023")</f>
        <v/>
      </c>
      <c r="Z377">
        <f>HYPERLINK("https://klasma.github.io/Logging_1486/fåglar/A 57511-2023 prioriterade fågelarter.docx", "A 57511-2023")</f>
        <v/>
      </c>
    </row>
    <row r="378" ht="15" customHeight="1">
      <c r="A378" t="inlineStr">
        <is>
          <t>A 61458-2023</t>
        </is>
      </c>
      <c r="B378" s="1" t="n">
        <v>45264</v>
      </c>
      <c r="C378" s="1" t="n">
        <v>45586</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63439-2023</t>
        </is>
      </c>
      <c r="B379" s="1" t="n">
        <v>45274</v>
      </c>
      <c r="C379" s="1" t="n">
        <v>45586</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63569-2023</t>
        </is>
      </c>
      <c r="B380" s="1" t="n">
        <v>45275</v>
      </c>
      <c r="C380" s="1" t="n">
        <v>45586</v>
      </c>
      <c r="D380" t="inlineStr">
        <is>
          <t>VÄSTRA GÖTALANDS LÄN</t>
        </is>
      </c>
      <c r="E380" t="inlineStr">
        <is>
          <t>ALE</t>
        </is>
      </c>
      <c r="G380" t="n">
        <v>2.4</v>
      </c>
      <c r="H380" t="n">
        <v>2</v>
      </c>
      <c r="I380" t="n">
        <v>0</v>
      </c>
      <c r="J380" t="n">
        <v>2</v>
      </c>
      <c r="K380" t="n">
        <v>0</v>
      </c>
      <c r="L380" t="n">
        <v>0</v>
      </c>
      <c r="M380" t="n">
        <v>0</v>
      </c>
      <c r="N380" t="n">
        <v>0</v>
      </c>
      <c r="O380" t="n">
        <v>2</v>
      </c>
      <c r="P380" t="n">
        <v>0</v>
      </c>
      <c r="Q380" t="n">
        <v>2</v>
      </c>
      <c r="R380" s="2" t="inlineStr">
        <is>
          <t>Spillkråka
Talltita</t>
        </is>
      </c>
      <c r="S380">
        <f>HYPERLINK("https://klasma.github.io/Logging_1440/artfynd/A 63569-2023 artfynd.xlsx", "A 63569-2023")</f>
        <v/>
      </c>
      <c r="T380">
        <f>HYPERLINK("https://klasma.github.io/Logging_1440/kartor/A 63569-2023 karta.png", "A 63569-2023")</f>
        <v/>
      </c>
      <c r="V380">
        <f>HYPERLINK("https://klasma.github.io/Logging_1440/klagomål/A 63569-2023 FSC-klagomål.docx", "A 63569-2023")</f>
        <v/>
      </c>
      <c r="W380">
        <f>HYPERLINK("https://klasma.github.io/Logging_1440/klagomålsmail/A 63569-2023 FSC-klagomål mail.docx", "A 63569-2023")</f>
        <v/>
      </c>
      <c r="X380">
        <f>HYPERLINK("https://klasma.github.io/Logging_1440/tillsyn/A 63569-2023 tillsynsbegäran.docx", "A 63569-2023")</f>
        <v/>
      </c>
      <c r="Y380">
        <f>HYPERLINK("https://klasma.github.io/Logging_1440/tillsynsmail/A 63569-2023 tillsynsbegäran mail.docx", "A 63569-2023")</f>
        <v/>
      </c>
      <c r="Z380">
        <f>HYPERLINK("https://klasma.github.io/Logging_1440/fåglar/A 63569-2023 prioriterade fågelarter.docx", "A 63569-2023")</f>
        <v/>
      </c>
    </row>
    <row r="381" ht="15" customHeight="1">
      <c r="A381" t="inlineStr">
        <is>
          <t>A 63587-2023</t>
        </is>
      </c>
      <c r="B381" s="1" t="n">
        <v>45275</v>
      </c>
      <c r="C381" s="1" t="n">
        <v>45586</v>
      </c>
      <c r="D381" t="inlineStr">
        <is>
          <t>VÄSTRA GÖTALANDS LÄN</t>
        </is>
      </c>
      <c r="E381" t="inlineStr">
        <is>
          <t>KARLSBORG</t>
        </is>
      </c>
      <c r="G381" t="n">
        <v>8.1</v>
      </c>
      <c r="H381" t="n">
        <v>2</v>
      </c>
      <c r="I381" t="n">
        <v>1</v>
      </c>
      <c r="J381" t="n">
        <v>0</v>
      </c>
      <c r="K381" t="n">
        <v>0</v>
      </c>
      <c r="L381" t="n">
        <v>0</v>
      </c>
      <c r="M381" t="n">
        <v>0</v>
      </c>
      <c r="N381" t="n">
        <v>0</v>
      </c>
      <c r="O381" t="n">
        <v>0</v>
      </c>
      <c r="P381" t="n">
        <v>0</v>
      </c>
      <c r="Q381" t="n">
        <v>2</v>
      </c>
      <c r="R381" s="2" t="inlineStr">
        <is>
          <t>Plattlummer
Mattlummer</t>
        </is>
      </c>
      <c r="S381">
        <f>HYPERLINK("https://klasma.github.io/Logging_1446/artfynd/A 63587-2023 artfynd.xlsx", "A 63587-2023")</f>
        <v/>
      </c>
      <c r="T381">
        <f>HYPERLINK("https://klasma.github.io/Logging_1446/kartor/A 63587-2023 karta.png", "A 63587-2023")</f>
        <v/>
      </c>
      <c r="V381">
        <f>HYPERLINK("https://klasma.github.io/Logging_1446/klagomål/A 63587-2023 FSC-klagomål.docx", "A 63587-2023")</f>
        <v/>
      </c>
      <c r="W381">
        <f>HYPERLINK("https://klasma.github.io/Logging_1446/klagomålsmail/A 63587-2023 FSC-klagomål mail.docx", "A 63587-2023")</f>
        <v/>
      </c>
      <c r="X381">
        <f>HYPERLINK("https://klasma.github.io/Logging_1446/tillsyn/A 63587-2023 tillsynsbegäran.docx", "A 63587-2023")</f>
        <v/>
      </c>
      <c r="Y381">
        <f>HYPERLINK("https://klasma.github.io/Logging_1446/tillsynsmail/A 63587-2023 tillsynsbegäran mail.docx", "A 63587-2023")</f>
        <v/>
      </c>
    </row>
    <row r="382" ht="15" customHeight="1">
      <c r="A382" t="inlineStr">
        <is>
          <t>A 63804-2023</t>
        </is>
      </c>
      <c r="B382" s="1" t="n">
        <v>45278</v>
      </c>
      <c r="C382" s="1" t="n">
        <v>45586</v>
      </c>
      <c r="D382" t="inlineStr">
        <is>
          <t>VÄSTRA GÖTALANDS LÄN</t>
        </is>
      </c>
      <c r="E382" t="inlineStr">
        <is>
          <t>ÅMÅL</t>
        </is>
      </c>
      <c r="F382" t="inlineStr">
        <is>
          <t>Kommuner</t>
        </is>
      </c>
      <c r="G382" t="n">
        <v>0.8</v>
      </c>
      <c r="H382" t="n">
        <v>0</v>
      </c>
      <c r="I382" t="n">
        <v>0</v>
      </c>
      <c r="J382" t="n">
        <v>1</v>
      </c>
      <c r="K382" t="n">
        <v>1</v>
      </c>
      <c r="L382" t="n">
        <v>0</v>
      </c>
      <c r="M382" t="n">
        <v>0</v>
      </c>
      <c r="N382" t="n">
        <v>0</v>
      </c>
      <c r="O382" t="n">
        <v>2</v>
      </c>
      <c r="P382" t="n">
        <v>1</v>
      </c>
      <c r="Q382" t="n">
        <v>2</v>
      </c>
      <c r="R382" s="2" t="inlineStr">
        <is>
          <t>Slåttergubbe
Svinrot</t>
        </is>
      </c>
      <c r="S382">
        <f>HYPERLINK("https://klasma.github.io/Logging_1492/artfynd/A 63804-2023 artfynd.xlsx", "A 63804-2023")</f>
        <v/>
      </c>
      <c r="T382">
        <f>HYPERLINK("https://klasma.github.io/Logging_1492/kartor/A 63804-2023 karta.png", "A 63804-2023")</f>
        <v/>
      </c>
      <c r="V382">
        <f>HYPERLINK("https://klasma.github.io/Logging_1492/klagomål/A 63804-2023 FSC-klagomål.docx", "A 63804-2023")</f>
        <v/>
      </c>
      <c r="W382">
        <f>HYPERLINK("https://klasma.github.io/Logging_1492/klagomålsmail/A 63804-2023 FSC-klagomål mail.docx", "A 63804-2023")</f>
        <v/>
      </c>
      <c r="X382">
        <f>HYPERLINK("https://klasma.github.io/Logging_1492/tillsyn/A 63804-2023 tillsynsbegäran.docx", "A 63804-2023")</f>
        <v/>
      </c>
      <c r="Y382">
        <f>HYPERLINK("https://klasma.github.io/Logging_1492/tillsynsmail/A 63804-2023 tillsynsbegäran mail.docx", "A 63804-2023")</f>
        <v/>
      </c>
    </row>
    <row r="383" ht="15" customHeight="1">
      <c r="A383" t="inlineStr">
        <is>
          <t>A 64578-2023</t>
        </is>
      </c>
      <c r="B383" s="1" t="n">
        <v>45281</v>
      </c>
      <c r="C383" s="1" t="n">
        <v>45586</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64717-2023</t>
        </is>
      </c>
      <c r="B384" s="1" t="n">
        <v>45281</v>
      </c>
      <c r="C384" s="1" t="n">
        <v>45586</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64855-2023</t>
        </is>
      </c>
      <c r="B385" s="1" t="n">
        <v>45282</v>
      </c>
      <c r="C385" s="1" t="n">
        <v>45586</v>
      </c>
      <c r="D385" t="inlineStr">
        <is>
          <t>VÄSTRA GÖTALANDS LÄN</t>
        </is>
      </c>
      <c r="E385" t="inlineStr">
        <is>
          <t>LERUM</t>
        </is>
      </c>
      <c r="G385" t="n">
        <v>3.7</v>
      </c>
      <c r="H385" t="n">
        <v>1</v>
      </c>
      <c r="I385" t="n">
        <v>0</v>
      </c>
      <c r="J385" t="n">
        <v>2</v>
      </c>
      <c r="K385" t="n">
        <v>0</v>
      </c>
      <c r="L385" t="n">
        <v>0</v>
      </c>
      <c r="M385" t="n">
        <v>0</v>
      </c>
      <c r="N385" t="n">
        <v>0</v>
      </c>
      <c r="O385" t="n">
        <v>2</v>
      </c>
      <c r="P385" t="n">
        <v>0</v>
      </c>
      <c r="Q385" t="n">
        <v>2</v>
      </c>
      <c r="R385" s="2" t="inlineStr">
        <is>
          <t>Havsörn
Svart taggsvamp</t>
        </is>
      </c>
      <c r="S385">
        <f>HYPERLINK("https://klasma.github.io/Logging_1441/artfynd/A 64855-2023 artfynd.xlsx", "A 64855-2023")</f>
        <v/>
      </c>
      <c r="T385">
        <f>HYPERLINK("https://klasma.github.io/Logging_1441/kartor/A 64855-2023 karta.png", "A 64855-2023")</f>
        <v/>
      </c>
      <c r="V385">
        <f>HYPERLINK("https://klasma.github.io/Logging_1441/klagomål/A 64855-2023 FSC-klagomål.docx", "A 64855-2023")</f>
        <v/>
      </c>
      <c r="W385">
        <f>HYPERLINK("https://klasma.github.io/Logging_1441/klagomålsmail/A 64855-2023 FSC-klagomål mail.docx", "A 64855-2023")</f>
        <v/>
      </c>
      <c r="X385">
        <f>HYPERLINK("https://klasma.github.io/Logging_1441/tillsyn/A 64855-2023 tillsynsbegäran.docx", "A 64855-2023")</f>
        <v/>
      </c>
      <c r="Y385">
        <f>HYPERLINK("https://klasma.github.io/Logging_1441/tillsynsmail/A 64855-2023 tillsynsbegäran mail.docx", "A 64855-2023")</f>
        <v/>
      </c>
      <c r="Z385">
        <f>HYPERLINK("https://klasma.github.io/Logging_1441/fåglar/A 64855-2023 prioriterade fågelarter.docx", "A 64855-2023")</f>
        <v/>
      </c>
    </row>
    <row r="386" ht="15" customHeight="1">
      <c r="A386" t="inlineStr">
        <is>
          <t>A 47-2024</t>
        </is>
      </c>
      <c r="B386" s="1" t="n">
        <v>45293</v>
      </c>
      <c r="C386" s="1" t="n">
        <v>45586</v>
      </c>
      <c r="D386" t="inlineStr">
        <is>
          <t>VÄSTRA GÖTALANDS LÄN</t>
        </is>
      </c>
      <c r="E386" t="inlineStr">
        <is>
          <t>KUNGÄLV</t>
        </is>
      </c>
      <c r="F386" t="inlineStr">
        <is>
          <t>Kommuner</t>
        </is>
      </c>
      <c r="G386" t="n">
        <v>7.5</v>
      </c>
      <c r="H386" t="n">
        <v>0</v>
      </c>
      <c r="I386" t="n">
        <v>1</v>
      </c>
      <c r="J386" t="n">
        <v>0</v>
      </c>
      <c r="K386" t="n">
        <v>0</v>
      </c>
      <c r="L386" t="n">
        <v>0</v>
      </c>
      <c r="M386" t="n">
        <v>1</v>
      </c>
      <c r="N386" t="n">
        <v>0</v>
      </c>
      <c r="O386" t="n">
        <v>1</v>
      </c>
      <c r="P386" t="n">
        <v>1</v>
      </c>
      <c r="Q386" t="n">
        <v>2</v>
      </c>
      <c r="R386" s="2" t="inlineStr">
        <is>
          <t>Skogsalm
Västlig hakmossa</t>
        </is>
      </c>
      <c r="S386">
        <f>HYPERLINK("https://klasma.github.io/Logging_1482/artfynd/A 47-2024 artfynd.xlsx", "A 47-2024")</f>
        <v/>
      </c>
      <c r="T386">
        <f>HYPERLINK("https://klasma.github.io/Logging_1482/kartor/A 47-2024 karta.png", "A 47-2024")</f>
        <v/>
      </c>
      <c r="V386">
        <f>HYPERLINK("https://klasma.github.io/Logging_1482/klagomål/A 47-2024 FSC-klagomål.docx", "A 47-2024")</f>
        <v/>
      </c>
      <c r="W386">
        <f>HYPERLINK("https://klasma.github.io/Logging_1482/klagomålsmail/A 47-2024 FSC-klagomål mail.docx", "A 47-2024")</f>
        <v/>
      </c>
      <c r="X386">
        <f>HYPERLINK("https://klasma.github.io/Logging_1482/tillsyn/A 47-2024 tillsynsbegäran.docx", "A 47-2024")</f>
        <v/>
      </c>
      <c r="Y386">
        <f>HYPERLINK("https://klasma.github.io/Logging_1482/tillsynsmail/A 47-2024 tillsynsbegäran mail.docx", "A 47-2024")</f>
        <v/>
      </c>
    </row>
    <row r="387" ht="15" customHeight="1">
      <c r="A387" t="inlineStr">
        <is>
          <t>A 434-2024</t>
        </is>
      </c>
      <c r="B387" s="1" t="n">
        <v>45296</v>
      </c>
      <c r="C387" s="1" t="n">
        <v>45586</v>
      </c>
      <c r="D387" t="inlineStr">
        <is>
          <t>VÄSTRA GÖTALANDS LÄN</t>
        </is>
      </c>
      <c r="E387" t="inlineStr">
        <is>
          <t>LILLA EDET</t>
        </is>
      </c>
      <c r="F387" t="inlineStr">
        <is>
          <t>Kommuner</t>
        </is>
      </c>
      <c r="G387" t="n">
        <v>6.3</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HYPERLINK("https://klasma.github.io/Logging_1462/artfynd/A 434-2024 artfynd.xlsx", "A 434-2024")</f>
        <v/>
      </c>
      <c r="T387">
        <f>HYPERLINK("https://klasma.github.io/Logging_1462/kartor/A 434-2024 karta.png", "A 434-2024")</f>
        <v/>
      </c>
      <c r="V387">
        <f>HYPERLINK("https://klasma.github.io/Logging_1462/klagomål/A 434-2024 FSC-klagomål.docx", "A 434-2024")</f>
        <v/>
      </c>
      <c r="W387">
        <f>HYPERLINK("https://klasma.github.io/Logging_1462/klagomålsmail/A 434-2024 FSC-klagomål mail.docx", "A 434-2024")</f>
        <v/>
      </c>
      <c r="X387">
        <f>HYPERLINK("https://klasma.github.io/Logging_1462/tillsyn/A 434-2024 tillsynsbegäran.docx", "A 434-2024")</f>
        <v/>
      </c>
      <c r="Y387">
        <f>HYPERLINK("https://klasma.github.io/Logging_1462/tillsynsmail/A 434-2024 tillsynsbegäran mail.docx", "A 434-2024")</f>
        <v/>
      </c>
    </row>
    <row r="388" ht="15" customHeight="1">
      <c r="A388" t="inlineStr">
        <is>
          <t>A 969-2024</t>
        </is>
      </c>
      <c r="B388" s="1" t="n">
        <v>45301</v>
      </c>
      <c r="C388" s="1" t="n">
        <v>45586</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1503-2024</t>
        </is>
      </c>
      <c r="B389" s="1" t="n">
        <v>45306</v>
      </c>
      <c r="C389" s="1" t="n">
        <v>45586</v>
      </c>
      <c r="D389" t="inlineStr">
        <is>
          <t>VÄSTRA GÖTALANDS LÄN</t>
        </is>
      </c>
      <c r="E389" t="inlineStr">
        <is>
          <t>ALE</t>
        </is>
      </c>
      <c r="G389" t="n">
        <v>6.6</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1503-2024 artfynd.xlsx", "A 1503-2024")</f>
        <v/>
      </c>
      <c r="T389">
        <f>HYPERLINK("https://klasma.github.io/Logging_1440/kartor/A 1503-2024 karta.png", "A 1503-2024")</f>
        <v/>
      </c>
      <c r="V389">
        <f>HYPERLINK("https://klasma.github.io/Logging_1440/klagomål/A 1503-2024 FSC-klagomål.docx", "A 1503-2024")</f>
        <v/>
      </c>
      <c r="W389">
        <f>HYPERLINK("https://klasma.github.io/Logging_1440/klagomålsmail/A 1503-2024 FSC-klagomål mail.docx", "A 1503-2024")</f>
        <v/>
      </c>
      <c r="X389">
        <f>HYPERLINK("https://klasma.github.io/Logging_1440/tillsyn/A 1503-2024 tillsynsbegäran.docx", "A 1503-2024")</f>
        <v/>
      </c>
      <c r="Y389">
        <f>HYPERLINK("https://klasma.github.io/Logging_1440/tillsynsmail/A 1503-2024 tillsynsbegäran mail.docx", "A 1503-2024")</f>
        <v/>
      </c>
      <c r="Z389">
        <f>HYPERLINK("https://klasma.github.io/Logging_1440/fåglar/A 1503-2024 prioriterade fågelarter.docx", "A 1503-2024")</f>
        <v/>
      </c>
    </row>
    <row r="390" ht="15" customHeight="1">
      <c r="A390" t="inlineStr">
        <is>
          <t>A 2389-2024</t>
        </is>
      </c>
      <c r="B390" s="1" t="n">
        <v>45310</v>
      </c>
      <c r="C390" s="1" t="n">
        <v>45586</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2531-2024</t>
        </is>
      </c>
      <c r="B391" s="1" t="n">
        <v>45313</v>
      </c>
      <c r="C391" s="1" t="n">
        <v>45586</v>
      </c>
      <c r="D391" t="inlineStr">
        <is>
          <t>VÄSTRA GÖTALANDS LÄN</t>
        </is>
      </c>
      <c r="E391" t="inlineStr">
        <is>
          <t>MUNKEDAL</t>
        </is>
      </c>
      <c r="G391" t="n">
        <v>2.2</v>
      </c>
      <c r="H391" t="n">
        <v>2</v>
      </c>
      <c r="I391" t="n">
        <v>0</v>
      </c>
      <c r="J391" t="n">
        <v>0</v>
      </c>
      <c r="K391" t="n">
        <v>0</v>
      </c>
      <c r="L391" t="n">
        <v>0</v>
      </c>
      <c r="M391" t="n">
        <v>0</v>
      </c>
      <c r="N391" t="n">
        <v>0</v>
      </c>
      <c r="O391" t="n">
        <v>0</v>
      </c>
      <c r="P391" t="n">
        <v>0</v>
      </c>
      <c r="Q391" t="n">
        <v>2</v>
      </c>
      <c r="R391" s="2" t="inlineStr">
        <is>
          <t>Lopplummer
Revlummer</t>
        </is>
      </c>
      <c r="S391">
        <f>HYPERLINK("https://klasma.github.io/Logging_1430/artfynd/A 2531-2024 artfynd.xlsx", "A 2531-2024")</f>
        <v/>
      </c>
      <c r="T391">
        <f>HYPERLINK("https://klasma.github.io/Logging_1430/kartor/A 2531-2024 karta.png", "A 2531-2024")</f>
        <v/>
      </c>
      <c r="V391">
        <f>HYPERLINK("https://klasma.github.io/Logging_1430/klagomål/A 2531-2024 FSC-klagomål.docx", "A 2531-2024")</f>
        <v/>
      </c>
      <c r="W391">
        <f>HYPERLINK("https://klasma.github.io/Logging_1430/klagomålsmail/A 2531-2024 FSC-klagomål mail.docx", "A 2531-2024")</f>
        <v/>
      </c>
      <c r="X391">
        <f>HYPERLINK("https://klasma.github.io/Logging_1430/tillsyn/A 2531-2024 tillsynsbegäran.docx", "A 2531-2024")</f>
        <v/>
      </c>
      <c r="Y391">
        <f>HYPERLINK("https://klasma.github.io/Logging_1430/tillsynsmail/A 2531-2024 tillsynsbegäran mail.docx", "A 2531-2024")</f>
        <v/>
      </c>
    </row>
    <row r="392" ht="15" customHeight="1">
      <c r="A392" t="inlineStr">
        <is>
          <t>A 2586-2024</t>
        </is>
      </c>
      <c r="B392" s="1" t="n">
        <v>45313</v>
      </c>
      <c r="C392" s="1" t="n">
        <v>45586</v>
      </c>
      <c r="D392" t="inlineStr">
        <is>
          <t>VÄSTRA GÖTALANDS LÄN</t>
        </is>
      </c>
      <c r="E392" t="inlineStr">
        <is>
          <t>MUNKEDAL</t>
        </is>
      </c>
      <c r="G392" t="n">
        <v>5.5</v>
      </c>
      <c r="H392" t="n">
        <v>1</v>
      </c>
      <c r="I392" t="n">
        <v>1</v>
      </c>
      <c r="J392" t="n">
        <v>0</v>
      </c>
      <c r="K392" t="n">
        <v>0</v>
      </c>
      <c r="L392" t="n">
        <v>0</v>
      </c>
      <c r="M392" t="n">
        <v>0</v>
      </c>
      <c r="N392" t="n">
        <v>0</v>
      </c>
      <c r="O392" t="n">
        <v>0</v>
      </c>
      <c r="P392" t="n">
        <v>0</v>
      </c>
      <c r="Q392" t="n">
        <v>2</v>
      </c>
      <c r="R392" s="2" t="inlineStr">
        <is>
          <t>Rävticka
Vanlig groda</t>
        </is>
      </c>
      <c r="S392">
        <f>HYPERLINK("https://klasma.github.io/Logging_1430/artfynd/A 2586-2024 artfynd.xlsx", "A 2586-2024")</f>
        <v/>
      </c>
      <c r="T392">
        <f>HYPERLINK("https://klasma.github.io/Logging_1430/kartor/A 2586-2024 karta.png", "A 2586-2024")</f>
        <v/>
      </c>
      <c r="V392">
        <f>HYPERLINK("https://klasma.github.io/Logging_1430/klagomål/A 2586-2024 FSC-klagomål.docx", "A 2586-2024")</f>
        <v/>
      </c>
      <c r="W392">
        <f>HYPERLINK("https://klasma.github.io/Logging_1430/klagomålsmail/A 2586-2024 FSC-klagomål mail.docx", "A 2586-2024")</f>
        <v/>
      </c>
      <c r="X392">
        <f>HYPERLINK("https://klasma.github.io/Logging_1430/tillsyn/A 2586-2024 tillsynsbegäran.docx", "A 2586-2024")</f>
        <v/>
      </c>
      <c r="Y392">
        <f>HYPERLINK("https://klasma.github.io/Logging_1430/tillsynsmail/A 2586-2024 tillsynsbegäran mail.docx", "A 2586-2024")</f>
        <v/>
      </c>
    </row>
    <row r="393" ht="15" customHeight="1">
      <c r="A393" t="inlineStr">
        <is>
          <t>A 3432-2024</t>
        </is>
      </c>
      <c r="B393" s="1" t="n">
        <v>45317</v>
      </c>
      <c r="C393" s="1" t="n">
        <v>45586</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3706-2024</t>
        </is>
      </c>
      <c r="B394" s="1" t="n">
        <v>45321</v>
      </c>
      <c r="C394" s="1" t="n">
        <v>45586</v>
      </c>
      <c r="D394" t="inlineStr">
        <is>
          <t>VÄSTRA GÖTALANDS LÄN</t>
        </is>
      </c>
      <c r="E394" t="inlineStr">
        <is>
          <t>BORÅS</t>
        </is>
      </c>
      <c r="F394" t="inlineStr">
        <is>
          <t>Kommuner</t>
        </is>
      </c>
      <c r="G394" t="n">
        <v>8.699999999999999</v>
      </c>
      <c r="H394" t="n">
        <v>2</v>
      </c>
      <c r="I394" t="n">
        <v>0</v>
      </c>
      <c r="J394" t="n">
        <v>0</v>
      </c>
      <c r="K394" t="n">
        <v>0</v>
      </c>
      <c r="L394" t="n">
        <v>0</v>
      </c>
      <c r="M394" t="n">
        <v>0</v>
      </c>
      <c r="N394" t="n">
        <v>0</v>
      </c>
      <c r="O394" t="n">
        <v>0</v>
      </c>
      <c r="P394" t="n">
        <v>0</v>
      </c>
      <c r="Q394" t="n">
        <v>2</v>
      </c>
      <c r="R394" s="2" t="inlineStr">
        <is>
          <t>Lopplummer
Revlummer</t>
        </is>
      </c>
      <c r="S394">
        <f>HYPERLINK("https://klasma.github.io/Logging_1490/artfynd/A 3706-2024 artfynd.xlsx", "A 3706-2024")</f>
        <v/>
      </c>
      <c r="T394">
        <f>HYPERLINK("https://klasma.github.io/Logging_1490/kartor/A 3706-2024 karta.png", "A 3706-2024")</f>
        <v/>
      </c>
      <c r="V394">
        <f>HYPERLINK("https://klasma.github.io/Logging_1490/klagomål/A 3706-2024 FSC-klagomål.docx", "A 3706-2024")</f>
        <v/>
      </c>
      <c r="W394">
        <f>HYPERLINK("https://klasma.github.io/Logging_1490/klagomålsmail/A 3706-2024 FSC-klagomål mail.docx", "A 3706-2024")</f>
        <v/>
      </c>
      <c r="X394">
        <f>HYPERLINK("https://klasma.github.io/Logging_1490/tillsyn/A 3706-2024 tillsynsbegäran.docx", "A 3706-2024")</f>
        <v/>
      </c>
      <c r="Y394">
        <f>HYPERLINK("https://klasma.github.io/Logging_1490/tillsynsmail/A 3706-2024 tillsynsbegäran mail.docx", "A 3706-2024")</f>
        <v/>
      </c>
    </row>
    <row r="395" ht="15" customHeight="1">
      <c r="A395" t="inlineStr">
        <is>
          <t>A 3764-2024</t>
        </is>
      </c>
      <c r="B395" s="1" t="n">
        <v>45321</v>
      </c>
      <c r="C395" s="1" t="n">
        <v>45586</v>
      </c>
      <c r="D395" t="inlineStr">
        <is>
          <t>VÄSTRA GÖTALANDS LÄN</t>
        </is>
      </c>
      <c r="E395" t="inlineStr">
        <is>
          <t>BORÅS</t>
        </is>
      </c>
      <c r="F395" t="inlineStr">
        <is>
          <t>Kommuner</t>
        </is>
      </c>
      <c r="G395" t="n">
        <v>8.300000000000001</v>
      </c>
      <c r="H395" t="n">
        <v>0</v>
      </c>
      <c r="I395" t="n">
        <v>2</v>
      </c>
      <c r="J395" t="n">
        <v>0</v>
      </c>
      <c r="K395" t="n">
        <v>0</v>
      </c>
      <c r="L395" t="n">
        <v>0</v>
      </c>
      <c r="M395" t="n">
        <v>0</v>
      </c>
      <c r="N395" t="n">
        <v>0</v>
      </c>
      <c r="O395" t="n">
        <v>0</v>
      </c>
      <c r="P395" t="n">
        <v>0</v>
      </c>
      <c r="Q395" t="n">
        <v>2</v>
      </c>
      <c r="R395" s="2" t="inlineStr">
        <is>
          <t>Stor revmossa
Västlig hakmossa</t>
        </is>
      </c>
      <c r="S395">
        <f>HYPERLINK("https://klasma.github.io/Logging_1490/artfynd/A 3764-2024 artfynd.xlsx", "A 3764-2024")</f>
        <v/>
      </c>
      <c r="T395">
        <f>HYPERLINK("https://klasma.github.io/Logging_1490/kartor/A 3764-2024 karta.png", "A 3764-2024")</f>
        <v/>
      </c>
      <c r="V395">
        <f>HYPERLINK("https://klasma.github.io/Logging_1490/klagomål/A 3764-2024 FSC-klagomål.docx", "A 3764-2024")</f>
        <v/>
      </c>
      <c r="W395">
        <f>HYPERLINK("https://klasma.github.io/Logging_1490/klagomålsmail/A 3764-2024 FSC-klagomål mail.docx", "A 3764-2024")</f>
        <v/>
      </c>
      <c r="X395">
        <f>HYPERLINK("https://klasma.github.io/Logging_1490/tillsyn/A 3764-2024 tillsynsbegäran.docx", "A 3764-2024")</f>
        <v/>
      </c>
      <c r="Y395">
        <f>HYPERLINK("https://klasma.github.io/Logging_1490/tillsynsmail/A 3764-2024 tillsynsbegäran mail.docx", "A 3764-2024")</f>
        <v/>
      </c>
    </row>
    <row r="396" ht="15" customHeight="1">
      <c r="A396" t="inlineStr">
        <is>
          <t>A 5637-2024</t>
        </is>
      </c>
      <c r="B396" s="1" t="n">
        <v>45334</v>
      </c>
      <c r="C396" s="1" t="n">
        <v>45586</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6055-2024</t>
        </is>
      </c>
      <c r="B397" s="1" t="n">
        <v>45336</v>
      </c>
      <c r="C397" s="1" t="n">
        <v>45586</v>
      </c>
      <c r="D397" t="inlineStr">
        <is>
          <t>VÄSTRA GÖTALANDS LÄN</t>
        </is>
      </c>
      <c r="E397" t="inlineStr">
        <is>
          <t>ORUST</t>
        </is>
      </c>
      <c r="G397" t="n">
        <v>24.1</v>
      </c>
      <c r="H397" t="n">
        <v>2</v>
      </c>
      <c r="I397" t="n">
        <v>0</v>
      </c>
      <c r="J397" t="n">
        <v>0</v>
      </c>
      <c r="K397" t="n">
        <v>0</v>
      </c>
      <c r="L397" t="n">
        <v>0</v>
      </c>
      <c r="M397" t="n">
        <v>0</v>
      </c>
      <c r="N397" t="n">
        <v>0</v>
      </c>
      <c r="O397" t="n">
        <v>0</v>
      </c>
      <c r="P397" t="n">
        <v>0</v>
      </c>
      <c r="Q397" t="n">
        <v>2</v>
      </c>
      <c r="R397" s="2" t="inlineStr">
        <is>
          <t>Lopplummer
Revlummer</t>
        </is>
      </c>
      <c r="S397">
        <f>HYPERLINK("https://klasma.github.io/Logging_1421/artfynd/A 6055-2024 artfynd.xlsx", "A 6055-2024")</f>
        <v/>
      </c>
      <c r="T397">
        <f>HYPERLINK("https://klasma.github.io/Logging_1421/kartor/A 6055-2024 karta.png", "A 6055-2024")</f>
        <v/>
      </c>
      <c r="V397">
        <f>HYPERLINK("https://klasma.github.io/Logging_1421/klagomål/A 6055-2024 FSC-klagomål.docx", "A 6055-2024")</f>
        <v/>
      </c>
      <c r="W397">
        <f>HYPERLINK("https://klasma.github.io/Logging_1421/klagomålsmail/A 6055-2024 FSC-klagomål mail.docx", "A 6055-2024")</f>
        <v/>
      </c>
      <c r="X397">
        <f>HYPERLINK("https://klasma.github.io/Logging_1421/tillsyn/A 6055-2024 tillsynsbegäran.docx", "A 6055-2024")</f>
        <v/>
      </c>
      <c r="Y397">
        <f>HYPERLINK("https://klasma.github.io/Logging_1421/tillsynsmail/A 6055-2024 tillsynsbegäran mail.docx", "A 6055-2024")</f>
        <v/>
      </c>
    </row>
    <row r="398" ht="15" customHeight="1">
      <c r="A398" t="inlineStr">
        <is>
          <t>A 6252-2024</t>
        </is>
      </c>
      <c r="B398" s="1" t="n">
        <v>45337</v>
      </c>
      <c r="C398" s="1" t="n">
        <v>45586</v>
      </c>
      <c r="D398" t="inlineStr">
        <is>
          <t>VÄSTRA GÖTALANDS LÄN</t>
        </is>
      </c>
      <c r="E398" t="inlineStr">
        <is>
          <t>FALKÖPING</t>
        </is>
      </c>
      <c r="G398" t="n">
        <v>4.2</v>
      </c>
      <c r="H398" t="n">
        <v>2</v>
      </c>
      <c r="I398" t="n">
        <v>0</v>
      </c>
      <c r="J398" t="n">
        <v>0</v>
      </c>
      <c r="K398" t="n">
        <v>0</v>
      </c>
      <c r="L398" t="n">
        <v>0</v>
      </c>
      <c r="M398" t="n">
        <v>0</v>
      </c>
      <c r="N398" t="n">
        <v>0</v>
      </c>
      <c r="O398" t="n">
        <v>0</v>
      </c>
      <c r="P398" t="n">
        <v>0</v>
      </c>
      <c r="Q398" t="n">
        <v>2</v>
      </c>
      <c r="R398" s="2" t="inlineStr">
        <is>
          <t>Blåsippa
Revlummer</t>
        </is>
      </c>
      <c r="S398">
        <f>HYPERLINK("https://klasma.github.io/Logging_1499/artfynd/A 6252-2024 artfynd.xlsx", "A 6252-2024")</f>
        <v/>
      </c>
      <c r="T398">
        <f>HYPERLINK("https://klasma.github.io/Logging_1499/kartor/A 6252-2024 karta.png", "A 6252-2024")</f>
        <v/>
      </c>
      <c r="V398">
        <f>HYPERLINK("https://klasma.github.io/Logging_1499/klagomål/A 6252-2024 FSC-klagomål.docx", "A 6252-2024")</f>
        <v/>
      </c>
      <c r="W398">
        <f>HYPERLINK("https://klasma.github.io/Logging_1499/klagomålsmail/A 6252-2024 FSC-klagomål mail.docx", "A 6252-2024")</f>
        <v/>
      </c>
      <c r="X398">
        <f>HYPERLINK("https://klasma.github.io/Logging_1499/tillsyn/A 6252-2024 tillsynsbegäran.docx", "A 6252-2024")</f>
        <v/>
      </c>
      <c r="Y398">
        <f>HYPERLINK("https://klasma.github.io/Logging_1499/tillsynsmail/A 6252-2024 tillsynsbegäran mail.docx", "A 6252-2024")</f>
        <v/>
      </c>
    </row>
    <row r="399" ht="15" customHeight="1">
      <c r="A399" t="inlineStr">
        <is>
          <t>A 6484-2024</t>
        </is>
      </c>
      <c r="B399" s="1" t="n">
        <v>45339</v>
      </c>
      <c r="C399" s="1" t="n">
        <v>45586</v>
      </c>
      <c r="D399" t="inlineStr">
        <is>
          <t>VÄSTRA GÖTALANDS LÄN</t>
        </is>
      </c>
      <c r="E399" t="inlineStr">
        <is>
          <t>ORUST</t>
        </is>
      </c>
      <c r="G399" t="n">
        <v>2.4</v>
      </c>
      <c r="H399" t="n">
        <v>0</v>
      </c>
      <c r="I399" t="n">
        <v>2</v>
      </c>
      <c r="J399" t="n">
        <v>0</v>
      </c>
      <c r="K399" t="n">
        <v>0</v>
      </c>
      <c r="L399" t="n">
        <v>0</v>
      </c>
      <c r="M399" t="n">
        <v>0</v>
      </c>
      <c r="N399" t="n">
        <v>0</v>
      </c>
      <c r="O399" t="n">
        <v>0</v>
      </c>
      <c r="P399" t="n">
        <v>0</v>
      </c>
      <c r="Q399" t="n">
        <v>2</v>
      </c>
      <c r="R399" s="2" t="inlineStr">
        <is>
          <t>Brandticka
Dvärghäxört</t>
        </is>
      </c>
      <c r="S399">
        <f>HYPERLINK("https://klasma.github.io/Logging_1421/artfynd/A 6484-2024 artfynd.xlsx", "A 6484-2024")</f>
        <v/>
      </c>
      <c r="T399">
        <f>HYPERLINK("https://klasma.github.io/Logging_1421/kartor/A 6484-2024 karta.png", "A 6484-2024")</f>
        <v/>
      </c>
      <c r="V399">
        <f>HYPERLINK("https://klasma.github.io/Logging_1421/klagomål/A 6484-2024 FSC-klagomål.docx", "A 6484-2024")</f>
        <v/>
      </c>
      <c r="W399">
        <f>HYPERLINK("https://klasma.github.io/Logging_1421/klagomålsmail/A 6484-2024 FSC-klagomål mail.docx", "A 6484-2024")</f>
        <v/>
      </c>
      <c r="X399">
        <f>HYPERLINK("https://klasma.github.io/Logging_1421/tillsyn/A 6484-2024 tillsynsbegäran.docx", "A 6484-2024")</f>
        <v/>
      </c>
      <c r="Y399">
        <f>HYPERLINK("https://klasma.github.io/Logging_1421/tillsynsmail/A 6484-2024 tillsynsbegäran mail.docx", "A 6484-2024")</f>
        <v/>
      </c>
    </row>
    <row r="400" ht="15" customHeight="1">
      <c r="A400" t="inlineStr">
        <is>
          <t>A 8030-2024</t>
        </is>
      </c>
      <c r="B400" s="1" t="n">
        <v>45350</v>
      </c>
      <c r="C400" s="1" t="n">
        <v>45586</v>
      </c>
      <c r="D400" t="inlineStr">
        <is>
          <t>VÄSTRA GÖTALANDS LÄN</t>
        </is>
      </c>
      <c r="E400" t="inlineStr">
        <is>
          <t>MARIESTAD</t>
        </is>
      </c>
      <c r="G400" t="n">
        <v>4.1</v>
      </c>
      <c r="H400" t="n">
        <v>2</v>
      </c>
      <c r="I400" t="n">
        <v>0</v>
      </c>
      <c r="J400" t="n">
        <v>0</v>
      </c>
      <c r="K400" t="n">
        <v>0</v>
      </c>
      <c r="L400" t="n">
        <v>0</v>
      </c>
      <c r="M400" t="n">
        <v>0</v>
      </c>
      <c r="N400" t="n">
        <v>0</v>
      </c>
      <c r="O400" t="n">
        <v>0</v>
      </c>
      <c r="P400" t="n">
        <v>0</v>
      </c>
      <c r="Q400" t="n">
        <v>2</v>
      </c>
      <c r="R400" s="2" t="inlineStr">
        <is>
          <t>Åkergroda
Vanlig groda</t>
        </is>
      </c>
      <c r="S400">
        <f>HYPERLINK("https://klasma.github.io/Logging_1493/artfynd/A 8030-2024 artfynd.xlsx", "A 8030-2024")</f>
        <v/>
      </c>
      <c r="T400">
        <f>HYPERLINK("https://klasma.github.io/Logging_1493/kartor/A 8030-2024 karta.png", "A 8030-2024")</f>
        <v/>
      </c>
      <c r="V400">
        <f>HYPERLINK("https://klasma.github.io/Logging_1493/klagomål/A 8030-2024 FSC-klagomål.docx", "A 8030-2024")</f>
        <v/>
      </c>
      <c r="W400">
        <f>HYPERLINK("https://klasma.github.io/Logging_1493/klagomålsmail/A 8030-2024 FSC-klagomål mail.docx", "A 8030-2024")</f>
        <v/>
      </c>
      <c r="X400">
        <f>HYPERLINK("https://klasma.github.io/Logging_1493/tillsyn/A 8030-2024 tillsynsbegäran.docx", "A 8030-2024")</f>
        <v/>
      </c>
      <c r="Y400">
        <f>HYPERLINK("https://klasma.github.io/Logging_1493/tillsynsmail/A 8030-2024 tillsynsbegäran mail.docx", "A 8030-2024")</f>
        <v/>
      </c>
    </row>
    <row r="401" ht="15" customHeight="1">
      <c r="A401" t="inlineStr">
        <is>
          <t>A 8666-2024</t>
        </is>
      </c>
      <c r="B401" s="1" t="n">
        <v>45352</v>
      </c>
      <c r="C401" s="1" t="n">
        <v>45586</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8448-2024</t>
        </is>
      </c>
      <c r="B402" s="1" t="n">
        <v>45354</v>
      </c>
      <c r="C402" s="1" t="n">
        <v>45586</v>
      </c>
      <c r="D402" t="inlineStr">
        <is>
          <t>VÄSTRA GÖTALANDS LÄN</t>
        </is>
      </c>
      <c r="E402" t="inlineStr">
        <is>
          <t>LILLA EDET</t>
        </is>
      </c>
      <c r="G402" t="n">
        <v>10.2</v>
      </c>
      <c r="H402" t="n">
        <v>0</v>
      </c>
      <c r="I402" t="n">
        <v>1</v>
      </c>
      <c r="J402" t="n">
        <v>1</v>
      </c>
      <c r="K402" t="n">
        <v>0</v>
      </c>
      <c r="L402" t="n">
        <v>0</v>
      </c>
      <c r="M402" t="n">
        <v>0</v>
      </c>
      <c r="N402" t="n">
        <v>0</v>
      </c>
      <c r="O402" t="n">
        <v>1</v>
      </c>
      <c r="P402" t="n">
        <v>0</v>
      </c>
      <c r="Q402" t="n">
        <v>2</v>
      </c>
      <c r="R402" s="2" t="inlineStr">
        <is>
          <t>Loppstarr
Dvärghäxört</t>
        </is>
      </c>
      <c r="S402">
        <f>HYPERLINK("https://klasma.github.io/Logging_1462/artfynd/A 8448-2024 artfynd.xlsx", "A 8448-2024")</f>
        <v/>
      </c>
      <c r="T402">
        <f>HYPERLINK("https://klasma.github.io/Logging_1462/kartor/A 8448-2024 karta.png", "A 8448-2024")</f>
        <v/>
      </c>
      <c r="V402">
        <f>HYPERLINK("https://klasma.github.io/Logging_1462/klagomål/A 8448-2024 FSC-klagomål.docx", "A 8448-2024")</f>
        <v/>
      </c>
      <c r="W402">
        <f>HYPERLINK("https://klasma.github.io/Logging_1462/klagomålsmail/A 8448-2024 FSC-klagomål mail.docx", "A 8448-2024")</f>
        <v/>
      </c>
      <c r="X402">
        <f>HYPERLINK("https://klasma.github.io/Logging_1462/tillsyn/A 8448-2024 tillsynsbegäran.docx", "A 8448-2024")</f>
        <v/>
      </c>
      <c r="Y402">
        <f>HYPERLINK("https://klasma.github.io/Logging_1462/tillsynsmail/A 8448-2024 tillsynsbegäran mail.docx", "A 8448-2024")</f>
        <v/>
      </c>
    </row>
    <row r="403" ht="15" customHeight="1">
      <c r="A403" t="inlineStr">
        <is>
          <t>A 12691-2024</t>
        </is>
      </c>
      <c r="B403" s="1" t="n">
        <v>45384</v>
      </c>
      <c r="C403" s="1" t="n">
        <v>45586</v>
      </c>
      <c r="D403" t="inlineStr">
        <is>
          <t>VÄSTRA GÖTALANDS LÄN</t>
        </is>
      </c>
      <c r="E403" t="inlineStr">
        <is>
          <t>BOLLEBYGD</t>
        </is>
      </c>
      <c r="F403" t="inlineStr">
        <is>
          <t>Kommuner</t>
        </is>
      </c>
      <c r="G403" t="n">
        <v>2.1</v>
      </c>
      <c r="H403" t="n">
        <v>2</v>
      </c>
      <c r="I403" t="n">
        <v>0</v>
      </c>
      <c r="J403" t="n">
        <v>1</v>
      </c>
      <c r="K403" t="n">
        <v>0</v>
      </c>
      <c r="L403" t="n">
        <v>0</v>
      </c>
      <c r="M403" t="n">
        <v>0</v>
      </c>
      <c r="N403" t="n">
        <v>0</v>
      </c>
      <c r="O403" t="n">
        <v>1</v>
      </c>
      <c r="P403" t="n">
        <v>0</v>
      </c>
      <c r="Q403" t="n">
        <v>2</v>
      </c>
      <c r="R403" s="2" t="inlineStr">
        <is>
          <t>Spillkråka
Orre</t>
        </is>
      </c>
      <c r="S403">
        <f>HYPERLINK("https://klasma.github.io/Logging_1443/artfynd/A 12691-2024 artfynd.xlsx", "A 12691-2024")</f>
        <v/>
      </c>
      <c r="T403">
        <f>HYPERLINK("https://klasma.github.io/Logging_1443/kartor/A 12691-2024 karta.png", "A 12691-2024")</f>
        <v/>
      </c>
      <c r="V403">
        <f>HYPERLINK("https://klasma.github.io/Logging_1443/klagomål/A 12691-2024 FSC-klagomål.docx", "A 12691-2024")</f>
        <v/>
      </c>
      <c r="W403">
        <f>HYPERLINK("https://klasma.github.io/Logging_1443/klagomålsmail/A 12691-2024 FSC-klagomål mail.docx", "A 12691-2024")</f>
        <v/>
      </c>
      <c r="X403">
        <f>HYPERLINK("https://klasma.github.io/Logging_1443/tillsyn/A 12691-2024 tillsynsbegäran.docx", "A 12691-2024")</f>
        <v/>
      </c>
      <c r="Y403">
        <f>HYPERLINK("https://klasma.github.io/Logging_1443/tillsynsmail/A 12691-2024 tillsynsbegäran mail.docx", "A 12691-2024")</f>
        <v/>
      </c>
      <c r="Z403">
        <f>HYPERLINK("https://klasma.github.io/Logging_1443/fåglar/A 12691-2024 prioriterade fågelarter.docx", "A 12691-2024")</f>
        <v/>
      </c>
    </row>
    <row r="404" ht="15" customHeight="1">
      <c r="A404" t="inlineStr">
        <is>
          <t>A 13365-2024</t>
        </is>
      </c>
      <c r="B404" s="1" t="n">
        <v>45387</v>
      </c>
      <c r="C404" s="1" t="n">
        <v>45586</v>
      </c>
      <c r="D404" t="inlineStr">
        <is>
          <t>VÄSTRA GÖTALANDS LÄN</t>
        </is>
      </c>
      <c r="E404" t="inlineStr">
        <is>
          <t>KARLSBORG</t>
        </is>
      </c>
      <c r="F404" t="inlineStr">
        <is>
          <t>Övriga Aktiebolag</t>
        </is>
      </c>
      <c r="G404" t="n">
        <v>2.5</v>
      </c>
      <c r="H404" t="n">
        <v>1</v>
      </c>
      <c r="I404" t="n">
        <v>1</v>
      </c>
      <c r="J404" t="n">
        <v>0</v>
      </c>
      <c r="K404" t="n">
        <v>0</v>
      </c>
      <c r="L404" t="n">
        <v>0</v>
      </c>
      <c r="M404" t="n">
        <v>0</v>
      </c>
      <c r="N404" t="n">
        <v>0</v>
      </c>
      <c r="O404" t="n">
        <v>0</v>
      </c>
      <c r="P404" t="n">
        <v>0</v>
      </c>
      <c r="Q404" t="n">
        <v>2</v>
      </c>
      <c r="R404" s="2" t="inlineStr">
        <is>
          <t>Grönpyrola
Tjäder</t>
        </is>
      </c>
      <c r="S404">
        <f>HYPERLINK("https://klasma.github.io/Logging_1446/artfynd/A 13365-2024 artfynd.xlsx", "A 13365-2024")</f>
        <v/>
      </c>
      <c r="T404">
        <f>HYPERLINK("https://klasma.github.io/Logging_1446/kartor/A 13365-2024 karta.png", "A 13365-2024")</f>
        <v/>
      </c>
      <c r="V404">
        <f>HYPERLINK("https://klasma.github.io/Logging_1446/klagomål/A 13365-2024 FSC-klagomål.docx", "A 13365-2024")</f>
        <v/>
      </c>
      <c r="W404">
        <f>HYPERLINK("https://klasma.github.io/Logging_1446/klagomålsmail/A 13365-2024 FSC-klagomål mail.docx", "A 13365-2024")</f>
        <v/>
      </c>
      <c r="X404">
        <f>HYPERLINK("https://klasma.github.io/Logging_1446/tillsyn/A 13365-2024 tillsynsbegäran.docx", "A 13365-2024")</f>
        <v/>
      </c>
      <c r="Y404">
        <f>HYPERLINK("https://klasma.github.io/Logging_1446/tillsynsmail/A 13365-2024 tillsynsbegäran mail.docx", "A 13365-2024")</f>
        <v/>
      </c>
      <c r="Z404">
        <f>HYPERLINK("https://klasma.github.io/Logging_1446/fåglar/A 13365-2024 prioriterade fågelarter.docx", "A 13365-2024")</f>
        <v/>
      </c>
    </row>
    <row r="405" ht="15" customHeight="1">
      <c r="A405" t="inlineStr">
        <is>
          <t>A 15219-2024</t>
        </is>
      </c>
      <c r="B405" s="1" t="n">
        <v>45400</v>
      </c>
      <c r="C405" s="1" t="n">
        <v>45586</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15722-2024</t>
        </is>
      </c>
      <c r="B406" s="1" t="n">
        <v>45404</v>
      </c>
      <c r="C406" s="1" t="n">
        <v>45586</v>
      </c>
      <c r="D406" t="inlineStr">
        <is>
          <t>VÄSTRA GÖTALANDS LÄN</t>
        </is>
      </c>
      <c r="E406" t="inlineStr">
        <is>
          <t>SKÖVDE</t>
        </is>
      </c>
      <c r="G406" t="n">
        <v>0.9</v>
      </c>
      <c r="H406" t="n">
        <v>0</v>
      </c>
      <c r="I406" t="n">
        <v>2</v>
      </c>
      <c r="J406" t="n">
        <v>0</v>
      </c>
      <c r="K406" t="n">
        <v>0</v>
      </c>
      <c r="L406" t="n">
        <v>0</v>
      </c>
      <c r="M406" t="n">
        <v>0</v>
      </c>
      <c r="N406" t="n">
        <v>0</v>
      </c>
      <c r="O406" t="n">
        <v>0</v>
      </c>
      <c r="P406" t="n">
        <v>0</v>
      </c>
      <c r="Q406" t="n">
        <v>2</v>
      </c>
      <c r="R406" s="2" t="inlineStr">
        <is>
          <t>Lundbräsma
Sårläka</t>
        </is>
      </c>
      <c r="S406">
        <f>HYPERLINK("https://klasma.github.io/Logging_1496/artfynd/A 15722-2024 artfynd.xlsx", "A 15722-2024")</f>
        <v/>
      </c>
      <c r="T406">
        <f>HYPERLINK("https://klasma.github.io/Logging_1496/kartor/A 15722-2024 karta.png", "A 15722-2024")</f>
        <v/>
      </c>
      <c r="V406">
        <f>HYPERLINK("https://klasma.github.io/Logging_1496/klagomål/A 15722-2024 FSC-klagomål.docx", "A 15722-2024")</f>
        <v/>
      </c>
      <c r="W406">
        <f>HYPERLINK("https://klasma.github.io/Logging_1496/klagomålsmail/A 15722-2024 FSC-klagomål mail.docx", "A 15722-2024")</f>
        <v/>
      </c>
      <c r="X406">
        <f>HYPERLINK("https://klasma.github.io/Logging_1496/tillsyn/A 15722-2024 tillsynsbegäran.docx", "A 15722-2024")</f>
        <v/>
      </c>
      <c r="Y406">
        <f>HYPERLINK("https://klasma.github.io/Logging_1496/tillsynsmail/A 15722-2024 tillsynsbegäran mail.docx", "A 15722-2024")</f>
        <v/>
      </c>
    </row>
    <row r="407" ht="15" customHeight="1">
      <c r="A407" t="inlineStr">
        <is>
          <t>A 17535-2024</t>
        </is>
      </c>
      <c r="B407" s="1" t="n">
        <v>45415</v>
      </c>
      <c r="C407" s="1" t="n">
        <v>45586</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19676-2024</t>
        </is>
      </c>
      <c r="B408" s="1" t="n">
        <v>45432</v>
      </c>
      <c r="C408" s="1" t="n">
        <v>45586</v>
      </c>
      <c r="D408" t="inlineStr">
        <is>
          <t>VÄSTRA GÖTALANDS LÄN</t>
        </is>
      </c>
      <c r="E408" t="inlineStr">
        <is>
          <t>UDDEVALLA</t>
        </is>
      </c>
      <c r="G408" t="n">
        <v>10.3</v>
      </c>
      <c r="H408" t="n">
        <v>0</v>
      </c>
      <c r="I408" t="n">
        <v>2</v>
      </c>
      <c r="J408" t="n">
        <v>0</v>
      </c>
      <c r="K408" t="n">
        <v>0</v>
      </c>
      <c r="L408" t="n">
        <v>0</v>
      </c>
      <c r="M408" t="n">
        <v>0</v>
      </c>
      <c r="N408" t="n">
        <v>0</v>
      </c>
      <c r="O408" t="n">
        <v>0</v>
      </c>
      <c r="P408" t="n">
        <v>0</v>
      </c>
      <c r="Q408" t="n">
        <v>2</v>
      </c>
      <c r="R408" s="2" t="inlineStr">
        <is>
          <t>Hässleklocka
Springkorn</t>
        </is>
      </c>
      <c r="S408">
        <f>HYPERLINK("https://klasma.github.io/Logging_1485/artfynd/A 19676-2024 artfynd.xlsx", "A 19676-2024")</f>
        <v/>
      </c>
      <c r="T408">
        <f>HYPERLINK("https://klasma.github.io/Logging_1485/kartor/A 19676-2024 karta.png", "A 19676-2024")</f>
        <v/>
      </c>
      <c r="V408">
        <f>HYPERLINK("https://klasma.github.io/Logging_1485/klagomål/A 19676-2024 FSC-klagomål.docx", "A 19676-2024")</f>
        <v/>
      </c>
      <c r="W408">
        <f>HYPERLINK("https://klasma.github.io/Logging_1485/klagomålsmail/A 19676-2024 FSC-klagomål mail.docx", "A 19676-2024")</f>
        <v/>
      </c>
      <c r="X408">
        <f>HYPERLINK("https://klasma.github.io/Logging_1485/tillsyn/A 19676-2024 tillsynsbegäran.docx", "A 19676-2024")</f>
        <v/>
      </c>
      <c r="Y408">
        <f>HYPERLINK("https://klasma.github.io/Logging_1485/tillsynsmail/A 19676-2024 tillsynsbegäran mail.docx", "A 19676-2024")</f>
        <v/>
      </c>
    </row>
    <row r="409" ht="15" customHeight="1">
      <c r="A409" t="inlineStr">
        <is>
          <t>A 19988-2024</t>
        </is>
      </c>
      <c r="B409" s="1" t="n">
        <v>45433</v>
      </c>
      <c r="C409" s="1" t="n">
        <v>45586</v>
      </c>
      <c r="D409" t="inlineStr">
        <is>
          <t>VÄSTRA GÖTALANDS LÄN</t>
        </is>
      </c>
      <c r="E409" t="inlineStr">
        <is>
          <t>TROLLHÄTTAN</t>
        </is>
      </c>
      <c r="G409" t="n">
        <v>7</v>
      </c>
      <c r="H409" t="n">
        <v>0</v>
      </c>
      <c r="I409" t="n">
        <v>1</v>
      </c>
      <c r="J409" t="n">
        <v>0</v>
      </c>
      <c r="K409" t="n">
        <v>0</v>
      </c>
      <c r="L409" t="n">
        <v>0</v>
      </c>
      <c r="M409" t="n">
        <v>1</v>
      </c>
      <c r="N409" t="n">
        <v>0</v>
      </c>
      <c r="O409" t="n">
        <v>1</v>
      </c>
      <c r="P409" t="n">
        <v>1</v>
      </c>
      <c r="Q409" t="n">
        <v>2</v>
      </c>
      <c r="R409" s="2" t="inlineStr">
        <is>
          <t>Lundalm
Strutbräken</t>
        </is>
      </c>
      <c r="S409">
        <f>HYPERLINK("https://klasma.github.io/Logging_1488/artfynd/A 19988-2024 artfynd.xlsx", "A 19988-2024")</f>
        <v/>
      </c>
      <c r="T409">
        <f>HYPERLINK("https://klasma.github.io/Logging_1488/kartor/A 19988-2024 karta.png", "A 19988-2024")</f>
        <v/>
      </c>
      <c r="V409">
        <f>HYPERLINK("https://klasma.github.io/Logging_1488/klagomål/A 19988-2024 FSC-klagomål.docx", "A 19988-2024")</f>
        <v/>
      </c>
      <c r="W409">
        <f>HYPERLINK("https://klasma.github.io/Logging_1488/klagomålsmail/A 19988-2024 FSC-klagomål mail.docx", "A 19988-2024")</f>
        <v/>
      </c>
      <c r="X409">
        <f>HYPERLINK("https://klasma.github.io/Logging_1488/tillsyn/A 19988-2024 tillsynsbegäran.docx", "A 19988-2024")</f>
        <v/>
      </c>
      <c r="Y409">
        <f>HYPERLINK("https://klasma.github.io/Logging_1488/tillsynsmail/A 19988-2024 tillsynsbegäran mail.docx", "A 19988-2024")</f>
        <v/>
      </c>
    </row>
    <row r="410" ht="15" customHeight="1">
      <c r="A410" t="inlineStr">
        <is>
          <t>A 23141-2024</t>
        </is>
      </c>
      <c r="B410" s="1" t="n">
        <v>45450</v>
      </c>
      <c r="C410" s="1" t="n">
        <v>45586</v>
      </c>
      <c r="D410" t="inlineStr">
        <is>
          <t>VÄSTRA GÖTALANDS LÄN</t>
        </is>
      </c>
      <c r="E410" t="inlineStr">
        <is>
          <t>TANUM</t>
        </is>
      </c>
      <c r="G410" t="n">
        <v>4.7</v>
      </c>
      <c r="H410" t="n">
        <v>1</v>
      </c>
      <c r="I410" t="n">
        <v>0</v>
      </c>
      <c r="J410" t="n">
        <v>0</v>
      </c>
      <c r="K410" t="n">
        <v>0</v>
      </c>
      <c r="L410" t="n">
        <v>0</v>
      </c>
      <c r="M410" t="n">
        <v>0</v>
      </c>
      <c r="N410" t="n">
        <v>1</v>
      </c>
      <c r="O410" t="n">
        <v>1</v>
      </c>
      <c r="P410" t="n">
        <v>0</v>
      </c>
      <c r="Q410" t="n">
        <v>2</v>
      </c>
      <c r="R410" s="2" t="inlineStr">
        <is>
          <t>Pimpinellros
Mattlummer</t>
        </is>
      </c>
      <c r="S410">
        <f>HYPERLINK("https://klasma.github.io/Logging_1435/artfynd/A 23141-2024 artfynd.xlsx", "A 23141-2024")</f>
        <v/>
      </c>
      <c r="T410">
        <f>HYPERLINK("https://klasma.github.io/Logging_1435/kartor/A 23141-2024 karta.png", "A 23141-2024")</f>
        <v/>
      </c>
      <c r="V410">
        <f>HYPERLINK("https://klasma.github.io/Logging_1435/klagomål/A 23141-2024 FSC-klagomål.docx", "A 23141-2024")</f>
        <v/>
      </c>
      <c r="W410">
        <f>HYPERLINK("https://klasma.github.io/Logging_1435/klagomålsmail/A 23141-2024 FSC-klagomål mail.docx", "A 23141-2024")</f>
        <v/>
      </c>
      <c r="X410">
        <f>HYPERLINK("https://klasma.github.io/Logging_1435/tillsyn/A 23141-2024 tillsynsbegäran.docx", "A 23141-2024")</f>
        <v/>
      </c>
      <c r="Y410">
        <f>HYPERLINK("https://klasma.github.io/Logging_1435/tillsynsmail/A 23141-2024 tillsynsbegäran mail.docx", "A 23141-2024")</f>
        <v/>
      </c>
    </row>
    <row r="411" ht="15" customHeight="1">
      <c r="A411" t="inlineStr">
        <is>
          <t>A 26718-2024</t>
        </is>
      </c>
      <c r="B411" s="1" t="n">
        <v>45470</v>
      </c>
      <c r="C411" s="1" t="n">
        <v>45586</v>
      </c>
      <c r="D411" t="inlineStr">
        <is>
          <t>VÄSTRA GÖTALANDS LÄN</t>
        </is>
      </c>
      <c r="E411" t="inlineStr">
        <is>
          <t>SVENLJUNGA</t>
        </is>
      </c>
      <c r="G411" t="n">
        <v>1.5</v>
      </c>
      <c r="H411" t="n">
        <v>0</v>
      </c>
      <c r="I411" t="n">
        <v>2</v>
      </c>
      <c r="J411" t="n">
        <v>0</v>
      </c>
      <c r="K411" t="n">
        <v>0</v>
      </c>
      <c r="L411" t="n">
        <v>0</v>
      </c>
      <c r="M411" t="n">
        <v>0</v>
      </c>
      <c r="N411" t="n">
        <v>0</v>
      </c>
      <c r="O411" t="n">
        <v>0</v>
      </c>
      <c r="P411" t="n">
        <v>0</v>
      </c>
      <c r="Q411" t="n">
        <v>2</v>
      </c>
      <c r="R411" s="2" t="inlineStr">
        <is>
          <t>Stor revmossa
Västlig hakmossa</t>
        </is>
      </c>
      <c r="S411">
        <f>HYPERLINK("https://klasma.github.io/Logging_1465/artfynd/A 26718-2024 artfynd.xlsx", "A 26718-2024")</f>
        <v/>
      </c>
      <c r="T411">
        <f>HYPERLINK("https://klasma.github.io/Logging_1465/kartor/A 26718-2024 karta.png", "A 26718-2024")</f>
        <v/>
      </c>
      <c r="V411">
        <f>HYPERLINK("https://klasma.github.io/Logging_1465/klagomål/A 26718-2024 FSC-klagomål.docx", "A 26718-2024")</f>
        <v/>
      </c>
      <c r="W411">
        <f>HYPERLINK("https://klasma.github.io/Logging_1465/klagomålsmail/A 26718-2024 FSC-klagomål mail.docx", "A 26718-2024")</f>
        <v/>
      </c>
      <c r="X411">
        <f>HYPERLINK("https://klasma.github.io/Logging_1465/tillsyn/A 26718-2024 tillsynsbegäran.docx", "A 26718-2024")</f>
        <v/>
      </c>
      <c r="Y411">
        <f>HYPERLINK("https://klasma.github.io/Logging_1465/tillsynsmail/A 26718-2024 tillsynsbegäran mail.docx", "A 26718-2024")</f>
        <v/>
      </c>
    </row>
    <row r="412" ht="15" customHeight="1">
      <c r="A412" t="inlineStr">
        <is>
          <t>A 28849-2024</t>
        </is>
      </c>
      <c r="B412" s="1" t="n">
        <v>45478</v>
      </c>
      <c r="C412" s="1" t="n">
        <v>45586</v>
      </c>
      <c r="D412" t="inlineStr">
        <is>
          <t>VÄSTRA GÖTALANDS LÄN</t>
        </is>
      </c>
      <c r="E412" t="inlineStr">
        <is>
          <t>LIDKÖPING</t>
        </is>
      </c>
      <c r="G412" t="n">
        <v>2.6</v>
      </c>
      <c r="H412" t="n">
        <v>2</v>
      </c>
      <c r="I412" t="n">
        <v>0</v>
      </c>
      <c r="J412" t="n">
        <v>2</v>
      </c>
      <c r="K412" t="n">
        <v>0</v>
      </c>
      <c r="L412" t="n">
        <v>0</v>
      </c>
      <c r="M412" t="n">
        <v>0</v>
      </c>
      <c r="N412" t="n">
        <v>0</v>
      </c>
      <c r="O412" t="n">
        <v>2</v>
      </c>
      <c r="P412" t="n">
        <v>0</v>
      </c>
      <c r="Q412" t="n">
        <v>2</v>
      </c>
      <c r="R412" s="2" t="inlineStr">
        <is>
          <t>Entita
Talltita</t>
        </is>
      </c>
      <c r="S412">
        <f>HYPERLINK("https://klasma.github.io/Logging_1494/artfynd/A 28849-2024 artfynd.xlsx", "A 28849-2024")</f>
        <v/>
      </c>
      <c r="T412">
        <f>HYPERLINK("https://klasma.github.io/Logging_1494/kartor/A 28849-2024 karta.png", "A 28849-2024")</f>
        <v/>
      </c>
      <c r="V412">
        <f>HYPERLINK("https://klasma.github.io/Logging_1494/klagomål/A 28849-2024 FSC-klagomål.docx", "A 28849-2024")</f>
        <v/>
      </c>
      <c r="W412">
        <f>HYPERLINK("https://klasma.github.io/Logging_1494/klagomålsmail/A 28849-2024 FSC-klagomål mail.docx", "A 28849-2024")</f>
        <v/>
      </c>
      <c r="X412">
        <f>HYPERLINK("https://klasma.github.io/Logging_1494/tillsyn/A 28849-2024 tillsynsbegäran.docx", "A 28849-2024")</f>
        <v/>
      </c>
      <c r="Y412">
        <f>HYPERLINK("https://klasma.github.io/Logging_1494/tillsynsmail/A 28849-2024 tillsynsbegäran mail.docx", "A 28849-2024")</f>
        <v/>
      </c>
      <c r="Z412">
        <f>HYPERLINK("https://klasma.github.io/Logging_1494/fåglar/A 28849-2024 prioriterade fågelarter.docx", "A 28849-2024")</f>
        <v/>
      </c>
    </row>
    <row r="413" ht="15" customHeight="1">
      <c r="A413" t="inlineStr">
        <is>
          <t>A 28682-2024</t>
        </is>
      </c>
      <c r="B413" s="1" t="n">
        <v>45478</v>
      </c>
      <c r="C413" s="1" t="n">
        <v>45586</v>
      </c>
      <c r="D413" t="inlineStr">
        <is>
          <t>VÄSTRA GÖTALANDS LÄN</t>
        </is>
      </c>
      <c r="E413" t="inlineStr">
        <is>
          <t>BORÅS</t>
        </is>
      </c>
      <c r="G413" t="n">
        <v>2</v>
      </c>
      <c r="H413" t="n">
        <v>2</v>
      </c>
      <c r="I413" t="n">
        <v>0</v>
      </c>
      <c r="J413" t="n">
        <v>0</v>
      </c>
      <c r="K413" t="n">
        <v>0</v>
      </c>
      <c r="L413" t="n">
        <v>0</v>
      </c>
      <c r="M413" t="n">
        <v>0</v>
      </c>
      <c r="N413" t="n">
        <v>0</v>
      </c>
      <c r="O413" t="n">
        <v>0</v>
      </c>
      <c r="P413" t="n">
        <v>0</v>
      </c>
      <c r="Q413" t="n">
        <v>2</v>
      </c>
      <c r="R413" s="2" t="inlineStr">
        <is>
          <t>Vanlig padda
Lopplummer</t>
        </is>
      </c>
      <c r="S413">
        <f>HYPERLINK("https://klasma.github.io/Logging_1490/artfynd/A 28682-2024 artfynd.xlsx", "A 28682-2024")</f>
        <v/>
      </c>
      <c r="T413">
        <f>HYPERLINK("https://klasma.github.io/Logging_1490/kartor/A 28682-2024 karta.png", "A 28682-2024")</f>
        <v/>
      </c>
      <c r="V413">
        <f>HYPERLINK("https://klasma.github.io/Logging_1490/klagomål/A 28682-2024 FSC-klagomål.docx", "A 28682-2024")</f>
        <v/>
      </c>
      <c r="W413">
        <f>HYPERLINK("https://klasma.github.io/Logging_1490/klagomålsmail/A 28682-2024 FSC-klagomål mail.docx", "A 28682-2024")</f>
        <v/>
      </c>
      <c r="X413">
        <f>HYPERLINK("https://klasma.github.io/Logging_1490/tillsyn/A 28682-2024 tillsynsbegäran.docx", "A 28682-2024")</f>
        <v/>
      </c>
      <c r="Y413">
        <f>HYPERLINK("https://klasma.github.io/Logging_1490/tillsynsmail/A 28682-2024 tillsynsbegäran mail.docx", "A 28682-2024")</f>
        <v/>
      </c>
    </row>
    <row r="414" ht="15" customHeight="1">
      <c r="A414" t="inlineStr">
        <is>
          <t>A 29576-2024</t>
        </is>
      </c>
      <c r="B414" s="1" t="n">
        <v>45484</v>
      </c>
      <c r="C414" s="1" t="n">
        <v>45586</v>
      </c>
      <c r="D414" t="inlineStr">
        <is>
          <t>VÄSTRA GÖTALANDS LÄN</t>
        </is>
      </c>
      <c r="E414" t="inlineStr">
        <is>
          <t>TRANEMO</t>
        </is>
      </c>
      <c r="G414" t="n">
        <v>2.2</v>
      </c>
      <c r="H414" t="n">
        <v>0</v>
      </c>
      <c r="I414" t="n">
        <v>1</v>
      </c>
      <c r="J414" t="n">
        <v>0</v>
      </c>
      <c r="K414" t="n">
        <v>0</v>
      </c>
      <c r="L414" t="n">
        <v>1</v>
      </c>
      <c r="M414" t="n">
        <v>0</v>
      </c>
      <c r="N414" t="n">
        <v>0</v>
      </c>
      <c r="O414" t="n">
        <v>1</v>
      </c>
      <c r="P414" t="n">
        <v>1</v>
      </c>
      <c r="Q414" t="n">
        <v>2</v>
      </c>
      <c r="R414" s="2" t="inlineStr">
        <is>
          <t>Ask
Fällmossa</t>
        </is>
      </c>
      <c r="S414">
        <f>HYPERLINK("https://klasma.github.io/Logging_1452/artfynd/A 29576-2024 artfynd.xlsx", "A 29576-2024")</f>
        <v/>
      </c>
      <c r="T414">
        <f>HYPERLINK("https://klasma.github.io/Logging_1452/kartor/A 29576-2024 karta.png", "A 29576-2024")</f>
        <v/>
      </c>
      <c r="V414">
        <f>HYPERLINK("https://klasma.github.io/Logging_1452/klagomål/A 29576-2024 FSC-klagomål.docx", "A 29576-2024")</f>
        <v/>
      </c>
      <c r="W414">
        <f>HYPERLINK("https://klasma.github.io/Logging_1452/klagomålsmail/A 29576-2024 FSC-klagomål mail.docx", "A 29576-2024")</f>
        <v/>
      </c>
      <c r="X414">
        <f>HYPERLINK("https://klasma.github.io/Logging_1452/tillsyn/A 29576-2024 tillsynsbegäran.docx", "A 29576-2024")</f>
        <v/>
      </c>
      <c r="Y414">
        <f>HYPERLINK("https://klasma.github.io/Logging_1452/tillsynsmail/A 29576-2024 tillsynsbegäran mail.docx", "A 29576-2024")</f>
        <v/>
      </c>
    </row>
    <row r="415" ht="15" customHeight="1">
      <c r="A415" t="inlineStr">
        <is>
          <t>A 31651-2024</t>
        </is>
      </c>
      <c r="B415" s="1" t="n">
        <v>45506</v>
      </c>
      <c r="C415" s="1" t="n">
        <v>45586</v>
      </c>
      <c r="D415" t="inlineStr">
        <is>
          <t>VÄSTRA GÖTALANDS LÄN</t>
        </is>
      </c>
      <c r="E415" t="inlineStr">
        <is>
          <t>ÅMÅL</t>
        </is>
      </c>
      <c r="G415" t="n">
        <v>5.6</v>
      </c>
      <c r="H415" t="n">
        <v>1</v>
      </c>
      <c r="I415" t="n">
        <v>0</v>
      </c>
      <c r="J415" t="n">
        <v>1</v>
      </c>
      <c r="K415" t="n">
        <v>0</v>
      </c>
      <c r="L415" t="n">
        <v>0</v>
      </c>
      <c r="M415" t="n">
        <v>0</v>
      </c>
      <c r="N415" t="n">
        <v>0</v>
      </c>
      <c r="O415" t="n">
        <v>1</v>
      </c>
      <c r="P415" t="n">
        <v>0</v>
      </c>
      <c r="Q415" t="n">
        <v>2</v>
      </c>
      <c r="R415" s="2" t="inlineStr">
        <is>
          <t>Bergjohannesört
Blåsippa</t>
        </is>
      </c>
      <c r="S415">
        <f>HYPERLINK("https://klasma.github.io/Logging_1492/artfynd/A 31651-2024 artfynd.xlsx", "A 31651-2024")</f>
        <v/>
      </c>
      <c r="T415">
        <f>HYPERLINK("https://klasma.github.io/Logging_1492/kartor/A 31651-2024 karta.png", "A 31651-2024")</f>
        <v/>
      </c>
      <c r="V415">
        <f>HYPERLINK("https://klasma.github.io/Logging_1492/klagomål/A 31651-2024 FSC-klagomål.docx", "A 31651-2024")</f>
        <v/>
      </c>
      <c r="W415">
        <f>HYPERLINK("https://klasma.github.io/Logging_1492/klagomålsmail/A 31651-2024 FSC-klagomål mail.docx", "A 31651-2024")</f>
        <v/>
      </c>
      <c r="X415">
        <f>HYPERLINK("https://klasma.github.io/Logging_1492/tillsyn/A 31651-2024 tillsynsbegäran.docx", "A 31651-2024")</f>
        <v/>
      </c>
      <c r="Y415">
        <f>HYPERLINK("https://klasma.github.io/Logging_1492/tillsynsmail/A 31651-2024 tillsynsbegäran mail.docx", "A 31651-2024")</f>
        <v/>
      </c>
    </row>
    <row r="416" ht="15" customHeight="1">
      <c r="A416" t="inlineStr">
        <is>
          <t>A 31652-2024</t>
        </is>
      </c>
      <c r="B416" s="1" t="n">
        <v>45506</v>
      </c>
      <c r="C416" s="1" t="n">
        <v>45586</v>
      </c>
      <c r="D416" t="inlineStr">
        <is>
          <t>VÄSTRA GÖTALANDS LÄN</t>
        </is>
      </c>
      <c r="E416" t="inlineStr">
        <is>
          <t>ÅMÅL</t>
        </is>
      </c>
      <c r="G416" t="n">
        <v>4.7</v>
      </c>
      <c r="H416" t="n">
        <v>0</v>
      </c>
      <c r="I416" t="n">
        <v>2</v>
      </c>
      <c r="J416" t="n">
        <v>0</v>
      </c>
      <c r="K416" t="n">
        <v>0</v>
      </c>
      <c r="L416" t="n">
        <v>0</v>
      </c>
      <c r="M416" t="n">
        <v>0</v>
      </c>
      <c r="N416" t="n">
        <v>0</v>
      </c>
      <c r="O416" t="n">
        <v>0</v>
      </c>
      <c r="P416" t="n">
        <v>0</v>
      </c>
      <c r="Q416" t="n">
        <v>2</v>
      </c>
      <c r="R416" s="2" t="inlineStr">
        <is>
          <t>Gulgrön kantmusseron
Svart trolldruva</t>
        </is>
      </c>
      <c r="S416">
        <f>HYPERLINK("https://klasma.github.io/Logging_1492/artfynd/A 31652-2024 artfynd.xlsx", "A 31652-2024")</f>
        <v/>
      </c>
      <c r="T416">
        <f>HYPERLINK("https://klasma.github.io/Logging_1492/kartor/A 31652-2024 karta.png", "A 31652-2024")</f>
        <v/>
      </c>
      <c r="V416">
        <f>HYPERLINK("https://klasma.github.io/Logging_1492/klagomål/A 31652-2024 FSC-klagomål.docx", "A 31652-2024")</f>
        <v/>
      </c>
      <c r="W416">
        <f>HYPERLINK("https://klasma.github.io/Logging_1492/klagomålsmail/A 31652-2024 FSC-klagomål mail.docx", "A 31652-2024")</f>
        <v/>
      </c>
      <c r="X416">
        <f>HYPERLINK("https://klasma.github.io/Logging_1492/tillsyn/A 31652-2024 tillsynsbegäran.docx", "A 31652-2024")</f>
        <v/>
      </c>
      <c r="Y416">
        <f>HYPERLINK("https://klasma.github.io/Logging_1492/tillsynsmail/A 31652-2024 tillsynsbegäran mail.docx", "A 31652-2024")</f>
        <v/>
      </c>
    </row>
    <row r="417" ht="15" customHeight="1">
      <c r="A417" t="inlineStr">
        <is>
          <t>A 32523-2024</t>
        </is>
      </c>
      <c r="B417" s="1" t="n">
        <v>45513</v>
      </c>
      <c r="C417" s="1" t="n">
        <v>45586</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32523-2024 artfynd.xlsx", "A 32523-2024")</f>
        <v/>
      </c>
      <c r="T417">
        <f>HYPERLINK("https://klasma.github.io/Logging_1485/kartor/A 32523-2024 karta.png", "A 32523-2024")</f>
        <v/>
      </c>
      <c r="V417">
        <f>HYPERLINK("https://klasma.github.io/Logging_1485/klagomål/A 32523-2024 FSC-klagomål.docx", "A 32523-2024")</f>
        <v/>
      </c>
      <c r="W417">
        <f>HYPERLINK("https://klasma.github.io/Logging_1485/klagomålsmail/A 32523-2024 FSC-klagomål mail.docx", "A 32523-2024")</f>
        <v/>
      </c>
      <c r="X417">
        <f>HYPERLINK("https://klasma.github.io/Logging_1485/tillsyn/A 32523-2024 tillsynsbegäran.docx", "A 32523-2024")</f>
        <v/>
      </c>
      <c r="Y417">
        <f>HYPERLINK("https://klasma.github.io/Logging_1485/tillsynsmail/A 32523-2024 tillsynsbegäran mail.docx", "A 32523-2024")</f>
        <v/>
      </c>
    </row>
    <row r="418" ht="15" customHeight="1">
      <c r="A418" t="inlineStr">
        <is>
          <t>A 32528-2024</t>
        </is>
      </c>
      <c r="B418" s="1" t="n">
        <v>45513</v>
      </c>
      <c r="C418" s="1" t="n">
        <v>45586</v>
      </c>
      <c r="D418" t="inlineStr">
        <is>
          <t>VÄSTRA GÖTALANDS LÄN</t>
        </is>
      </c>
      <c r="E418" t="inlineStr">
        <is>
          <t>UDDEVALLA</t>
        </is>
      </c>
      <c r="G418" t="n">
        <v>1.5</v>
      </c>
      <c r="H418" t="n">
        <v>0</v>
      </c>
      <c r="I418" t="n">
        <v>1</v>
      </c>
      <c r="J418" t="n">
        <v>1</v>
      </c>
      <c r="K418" t="n">
        <v>0</v>
      </c>
      <c r="L418" t="n">
        <v>0</v>
      </c>
      <c r="M418" t="n">
        <v>0</v>
      </c>
      <c r="N418" t="n">
        <v>0</v>
      </c>
      <c r="O418" t="n">
        <v>1</v>
      </c>
      <c r="P418" t="n">
        <v>0</v>
      </c>
      <c r="Q418" t="n">
        <v>2</v>
      </c>
      <c r="R418" s="2" t="inlineStr">
        <is>
          <t>Grönhjon
Granbarkgnagare</t>
        </is>
      </c>
      <c r="S418">
        <f>HYPERLINK("https://klasma.github.io/Logging_1485/artfynd/A 32528-2024 artfynd.xlsx", "A 32528-2024")</f>
        <v/>
      </c>
      <c r="T418">
        <f>HYPERLINK("https://klasma.github.io/Logging_1485/kartor/A 32528-2024 karta.png", "A 32528-2024")</f>
        <v/>
      </c>
      <c r="V418">
        <f>HYPERLINK("https://klasma.github.io/Logging_1485/klagomål/A 32528-2024 FSC-klagomål.docx", "A 32528-2024")</f>
        <v/>
      </c>
      <c r="W418">
        <f>HYPERLINK("https://klasma.github.io/Logging_1485/klagomålsmail/A 32528-2024 FSC-klagomål mail.docx", "A 32528-2024")</f>
        <v/>
      </c>
      <c r="X418">
        <f>HYPERLINK("https://klasma.github.io/Logging_1485/tillsyn/A 32528-2024 tillsynsbegäran.docx", "A 32528-2024")</f>
        <v/>
      </c>
      <c r="Y418">
        <f>HYPERLINK("https://klasma.github.io/Logging_1485/tillsynsmail/A 32528-2024 tillsynsbegäran mail.docx", "A 32528-2024")</f>
        <v/>
      </c>
    </row>
    <row r="419" ht="15" customHeight="1">
      <c r="A419" t="inlineStr">
        <is>
          <t>A 38204-2024</t>
        </is>
      </c>
      <c r="B419" s="1" t="n">
        <v>45545</v>
      </c>
      <c r="C419" s="1" t="n">
        <v>45586</v>
      </c>
      <c r="D419" t="inlineStr">
        <is>
          <t>VÄSTRA GÖTALANDS LÄN</t>
        </is>
      </c>
      <c r="E419" t="inlineStr">
        <is>
          <t>KARLSBORG</t>
        </is>
      </c>
      <c r="F419" t="inlineStr">
        <is>
          <t>Sveaskog</t>
        </is>
      </c>
      <c r="G419" t="n">
        <v>5.4</v>
      </c>
      <c r="H419" t="n">
        <v>2</v>
      </c>
      <c r="I419" t="n">
        <v>0</v>
      </c>
      <c r="J419" t="n">
        <v>0</v>
      </c>
      <c r="K419" t="n">
        <v>1</v>
      </c>
      <c r="L419" t="n">
        <v>0</v>
      </c>
      <c r="M419" t="n">
        <v>0</v>
      </c>
      <c r="N419" t="n">
        <v>0</v>
      </c>
      <c r="O419" t="n">
        <v>1</v>
      </c>
      <c r="P419" t="n">
        <v>1</v>
      </c>
      <c r="Q419" t="n">
        <v>2</v>
      </c>
      <c r="R419" s="2" t="inlineStr">
        <is>
          <t>Knärot
Kungsfågel</t>
        </is>
      </c>
      <c r="S419">
        <f>HYPERLINK("https://klasma.github.io/Logging_1446/artfynd/A 38204-2024 artfynd.xlsx", "A 38204-2024")</f>
        <v/>
      </c>
      <c r="T419">
        <f>HYPERLINK("https://klasma.github.io/Logging_1446/kartor/A 38204-2024 karta.png", "A 38204-2024")</f>
        <v/>
      </c>
      <c r="U419">
        <f>HYPERLINK("https://klasma.github.io/Logging_1446/knärot/A 38204-2024 karta knärot.png", "A 38204-2024")</f>
        <v/>
      </c>
      <c r="V419">
        <f>HYPERLINK("https://klasma.github.io/Logging_1446/klagomål/A 38204-2024 FSC-klagomål.docx", "A 38204-2024")</f>
        <v/>
      </c>
      <c r="W419">
        <f>HYPERLINK("https://klasma.github.io/Logging_1446/klagomålsmail/A 38204-2024 FSC-klagomål mail.docx", "A 38204-2024")</f>
        <v/>
      </c>
      <c r="X419">
        <f>HYPERLINK("https://klasma.github.io/Logging_1446/tillsyn/A 38204-2024 tillsynsbegäran.docx", "A 38204-2024")</f>
        <v/>
      </c>
      <c r="Y419">
        <f>HYPERLINK("https://klasma.github.io/Logging_1446/tillsynsmail/A 38204-2024 tillsynsbegäran mail.docx", "A 38204-2024")</f>
        <v/>
      </c>
      <c r="Z419">
        <f>HYPERLINK("https://klasma.github.io/Logging_1446/fåglar/A 38204-2024 prioriterade fågelarter.docx", "A 38204-2024")</f>
        <v/>
      </c>
    </row>
    <row r="420" ht="15" customHeight="1">
      <c r="A420" t="inlineStr">
        <is>
          <t>A 43003-2024</t>
        </is>
      </c>
      <c r="B420" s="1" t="n">
        <v>45567</v>
      </c>
      <c r="C420" s="1" t="n">
        <v>45586</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45586</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45586</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45586</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45586</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45586</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45586</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45586</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45586</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45586</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45586</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45586</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45586</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45586</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45586</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45586</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45586</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45586</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45586</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45586</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45586</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45586</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45586</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45586</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45586</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45586</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45586</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45586</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45586</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45586</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45586</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45586</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45586</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45586</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45586</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45586</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45586</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45586</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45586</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45586</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45586</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45586</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45586</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45586</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45586</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45586</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45586</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45586</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45586</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45586</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45586</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45586</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45586</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45586</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45586</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45586</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45586</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45586</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45586</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45586</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45586</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45586</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45586</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45586</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45586</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45586</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45586</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45586</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45586</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45586</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45586</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45586</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45586</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45586</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45586</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45586</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45586</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45586</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45586</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45586</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45586</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45586</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45586</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45586</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45586</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45586</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45586</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45586</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45586</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45586</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45586</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45586</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45586</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45586</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45586</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45586</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45586</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45586</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45586</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45586</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45586</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45586</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45586</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45586</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45586</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45586</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45586</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45586</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45586</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45586</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45586</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45586</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45586</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45586</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45586</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45586</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45586</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45586</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45586</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45586</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45586</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45586</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45586</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45586</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45586</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45586</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45586</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45586</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45586</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45586</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45586</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45586</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45586</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45586</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45586</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45586</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45586</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45586</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45586</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45586</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45586</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45586</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45586</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45586</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45586</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45586</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45586</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45586</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45586</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45586</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45586</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45586</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45586</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45586</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45586</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45586</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45586</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45586</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45586</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45586</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45586</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45586</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45586</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45586</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45586</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45586</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45586</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45586</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45586</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45586</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45586</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45586</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45586</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45586</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45586</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45586</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45586</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45586</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45586</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45586</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45586</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45586</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45586</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45586</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45586</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45586</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45586</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45586</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45586</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45586</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45586</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45586</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45586</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45586</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45586</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45586</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45586</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45586</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45586</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45586</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45586</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45586</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45586</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45586</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45586</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45586</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45586</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45586</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45586</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45586</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45586</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45586</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45586</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45586</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45586</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45586</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45586</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45586</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45586</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45586</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45586</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45586</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45586</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45586</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45586</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45586</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45586</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45586</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45586</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45586</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45586</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45586</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45586</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45586</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45586</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45586</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45586</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45586</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45586</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45586</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45586</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45586</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45586</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45586</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45586</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45586</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45586</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45586</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45586</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45586</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45586</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45586</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45586</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45586</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45586</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45586</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45586</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45586</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45586</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45586</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45586</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45586</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45586</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45586</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45586</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45586</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45586</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45586</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45586</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45586</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45586</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45586</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45586</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45586</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45586</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45586</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45586</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45586</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45586</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45586</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45586</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45586</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45586</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45586</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45586</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45586</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45586</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45586</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45586</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45586</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45586</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45586</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45586</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45586</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45586</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45586</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45586</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45586</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45586</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45586</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45586</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45586</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45586</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45586</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45586</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45586</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45586</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45586</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45586</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45586</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45586</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45586</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45586</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45586</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45586</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45586</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45586</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45586</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45586</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45586</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45586</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45586</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45586</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45586</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45586</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45586</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45586</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45586</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45586</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45586</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45586</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45586</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45586</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45586</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45586</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45586</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45586</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45586</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45586</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45586</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45586</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45586</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45586</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45586</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45586</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45586</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45586</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45586</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45586</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45586</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45586</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45586</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45586</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45586</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45586</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45586</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45586</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45586</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45586</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45586</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45586</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45586</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45586</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45586</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45586</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45586</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45586</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45586</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45586</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45586</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45586</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45586</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45586</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45586</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45586</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45586</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45586</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45586</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45586</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45586</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45586</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45586</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45586</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45586</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45586</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45586</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45586</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45586</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45586</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45586</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45586</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45586</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45586</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45586</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45586</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45586</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45586</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45586</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45586</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45586</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45586</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45586</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45586</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45586</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45586</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45586</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45586</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45586</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45586</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45586</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45586</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45586</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45586</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45586</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45586</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45586</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45586</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45586</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45586</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45586</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45586</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45586</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45586</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45586</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45586</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45586</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45586</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45586</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45586</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45586</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45586</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45586</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45586</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45586</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42666-2024</t>
        </is>
      </c>
      <c r="B854" s="1" t="n">
        <v>45566</v>
      </c>
      <c r="C854" s="1" t="n">
        <v>45586</v>
      </c>
      <c r="D854" t="inlineStr">
        <is>
          <t>VÄSTRA GÖTALANDS LÄN</t>
        </is>
      </c>
      <c r="E854" t="inlineStr">
        <is>
          <t>BORÅS</t>
        </is>
      </c>
      <c r="G854" t="n">
        <v>6.3</v>
      </c>
      <c r="H854" t="n">
        <v>0</v>
      </c>
      <c r="I854" t="n">
        <v>1</v>
      </c>
      <c r="J854" t="n">
        <v>0</v>
      </c>
      <c r="K854" t="n">
        <v>0</v>
      </c>
      <c r="L854" t="n">
        <v>0</v>
      </c>
      <c r="M854" t="n">
        <v>0</v>
      </c>
      <c r="N854" t="n">
        <v>0</v>
      </c>
      <c r="O854" t="n">
        <v>0</v>
      </c>
      <c r="P854" t="n">
        <v>0</v>
      </c>
      <c r="Q854" t="n">
        <v>1</v>
      </c>
      <c r="R854" s="2" t="inlineStr">
        <is>
          <t>Sotriska</t>
        </is>
      </c>
      <c r="S854">
        <f>HYPERLINK("https://klasma.github.io/Logging_1490/artfynd/A 42666-2024 artfynd.xlsx", "A 42666-2024")</f>
        <v/>
      </c>
      <c r="T854">
        <f>HYPERLINK("https://klasma.github.io/Logging_1490/kartor/A 42666-2024 karta.png", "A 42666-2024")</f>
        <v/>
      </c>
      <c r="V854">
        <f>HYPERLINK("https://klasma.github.io/Logging_1490/klagomål/A 42666-2024 FSC-klagomål.docx", "A 42666-2024")</f>
        <v/>
      </c>
      <c r="W854">
        <f>HYPERLINK("https://klasma.github.io/Logging_1490/klagomålsmail/A 42666-2024 FSC-klagomål mail.docx", "A 42666-2024")</f>
        <v/>
      </c>
      <c r="X854">
        <f>HYPERLINK("https://klasma.github.io/Logging_1490/tillsyn/A 42666-2024 tillsynsbegäran.docx", "A 42666-2024")</f>
        <v/>
      </c>
      <c r="Y854">
        <f>HYPERLINK("https://klasma.github.io/Logging_1490/tillsynsmail/A 42666-2024 tillsynsbegäran mail.docx", "A 42666-2024")</f>
        <v/>
      </c>
    </row>
    <row r="855" ht="15" customHeight="1">
      <c r="A855" t="inlineStr">
        <is>
          <t>A 42763-2024</t>
        </is>
      </c>
      <c r="B855" s="1" t="n">
        <v>45566</v>
      </c>
      <c r="C855" s="1" t="n">
        <v>45586</v>
      </c>
      <c r="D855" t="inlineStr">
        <is>
          <t>VÄSTRA GÖTALANDS LÄN</t>
        </is>
      </c>
      <c r="E855" t="inlineStr">
        <is>
          <t>ULRICEHAMN</t>
        </is>
      </c>
      <c r="F855" t="inlineStr">
        <is>
          <t>Sveaskog</t>
        </is>
      </c>
      <c r="G855" t="n">
        <v>5.3</v>
      </c>
      <c r="H855" t="n">
        <v>1</v>
      </c>
      <c r="I855" t="n">
        <v>0</v>
      </c>
      <c r="J855" t="n">
        <v>0</v>
      </c>
      <c r="K855" t="n">
        <v>0</v>
      </c>
      <c r="L855" t="n">
        <v>0</v>
      </c>
      <c r="M855" t="n">
        <v>0</v>
      </c>
      <c r="N855" t="n">
        <v>0</v>
      </c>
      <c r="O855" t="n">
        <v>0</v>
      </c>
      <c r="P855" t="n">
        <v>0</v>
      </c>
      <c r="Q855" t="n">
        <v>1</v>
      </c>
      <c r="R855" s="2" t="inlineStr">
        <is>
          <t>Hasselmus</t>
        </is>
      </c>
      <c r="S855">
        <f>HYPERLINK("https://klasma.github.io/Logging_1491/artfynd/A 42763-2024 artfynd.xlsx", "A 42763-2024")</f>
        <v/>
      </c>
      <c r="T855">
        <f>HYPERLINK("https://klasma.github.io/Logging_1491/kartor/A 42763-2024 karta.png", "A 42763-2024")</f>
        <v/>
      </c>
      <c r="V855">
        <f>HYPERLINK("https://klasma.github.io/Logging_1491/klagomål/A 42763-2024 FSC-klagomål.docx", "A 42763-2024")</f>
        <v/>
      </c>
      <c r="W855">
        <f>HYPERLINK("https://klasma.github.io/Logging_1491/klagomålsmail/A 42763-2024 FSC-klagomål mail.docx", "A 42763-2024")</f>
        <v/>
      </c>
      <c r="X855">
        <f>HYPERLINK("https://klasma.github.io/Logging_1491/tillsyn/A 42763-2024 tillsynsbegäran.docx", "A 42763-2024")</f>
        <v/>
      </c>
      <c r="Y855">
        <f>HYPERLINK("https://klasma.github.io/Logging_1491/tillsynsmail/A 42763-2024 tillsynsbegäran mail.docx", "A 42763-2024")</f>
        <v/>
      </c>
    </row>
    <row r="856" ht="15" customHeight="1">
      <c r="A856" t="inlineStr">
        <is>
          <t>A 42900-2024</t>
        </is>
      </c>
      <c r="B856" s="1" t="n">
        <v>45566</v>
      </c>
      <c r="C856" s="1" t="n">
        <v>45586</v>
      </c>
      <c r="D856" t="inlineStr">
        <is>
          <t>VÄSTRA GÖTALANDS LÄN</t>
        </is>
      </c>
      <c r="E856" t="inlineStr">
        <is>
          <t>SVENLJUNGA</t>
        </is>
      </c>
      <c r="G856" t="n">
        <v>4.6</v>
      </c>
      <c r="H856" t="n">
        <v>1</v>
      </c>
      <c r="I856" t="n">
        <v>0</v>
      </c>
      <c r="J856" t="n">
        <v>0</v>
      </c>
      <c r="K856" t="n">
        <v>0</v>
      </c>
      <c r="L856" t="n">
        <v>0</v>
      </c>
      <c r="M856" t="n">
        <v>0</v>
      </c>
      <c r="N856" t="n">
        <v>0</v>
      </c>
      <c r="O856" t="n">
        <v>0</v>
      </c>
      <c r="P856" t="n">
        <v>0</v>
      </c>
      <c r="Q856" t="n">
        <v>1</v>
      </c>
      <c r="R856" s="2" t="inlineStr">
        <is>
          <t>Mattlummer</t>
        </is>
      </c>
      <c r="S856">
        <f>HYPERLINK("https://klasma.github.io/Logging_1465/artfynd/A 42900-2024 artfynd.xlsx", "A 42900-2024")</f>
        <v/>
      </c>
      <c r="T856">
        <f>HYPERLINK("https://klasma.github.io/Logging_1465/kartor/A 42900-2024 karta.png", "A 42900-2024")</f>
        <v/>
      </c>
      <c r="V856">
        <f>HYPERLINK("https://klasma.github.io/Logging_1465/klagomål/A 42900-2024 FSC-klagomål.docx", "A 42900-2024")</f>
        <v/>
      </c>
      <c r="W856">
        <f>HYPERLINK("https://klasma.github.io/Logging_1465/klagomålsmail/A 42900-2024 FSC-klagomål mail.docx", "A 42900-2024")</f>
        <v/>
      </c>
      <c r="X856">
        <f>HYPERLINK("https://klasma.github.io/Logging_1465/tillsyn/A 42900-2024 tillsynsbegäran.docx", "A 42900-2024")</f>
        <v/>
      </c>
      <c r="Y856">
        <f>HYPERLINK("https://klasma.github.io/Logging_1465/tillsynsmail/A 42900-2024 tillsynsbegäran mail.docx", "A 42900-2024")</f>
        <v/>
      </c>
    </row>
    <row r="857" ht="15" customHeight="1">
      <c r="A857" t="inlineStr">
        <is>
          <t>A 43202-2024</t>
        </is>
      </c>
      <c r="B857" s="1" t="n">
        <v>45567</v>
      </c>
      <c r="C857" s="1" t="n">
        <v>45586</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45586</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45586</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17765-2019</t>
        </is>
      </c>
      <c r="B860" s="1" t="n">
        <v>43556</v>
      </c>
      <c r="C860" s="1" t="n">
        <v>45586</v>
      </c>
      <c r="D860" t="inlineStr">
        <is>
          <t>VÄSTRA GÖTALANDS LÄN</t>
        </is>
      </c>
      <c r="E860" t="inlineStr">
        <is>
          <t>SKARA</t>
        </is>
      </c>
      <c r="G860" t="n">
        <v>0.7</v>
      </c>
      <c r="H860" t="n">
        <v>0</v>
      </c>
      <c r="I860" t="n">
        <v>0</v>
      </c>
      <c r="J860" t="n">
        <v>0</v>
      </c>
      <c r="K860" t="n">
        <v>0</v>
      </c>
      <c r="L860" t="n">
        <v>0</v>
      </c>
      <c r="M860" t="n">
        <v>0</v>
      </c>
      <c r="N860" t="n">
        <v>0</v>
      </c>
      <c r="O860" t="n">
        <v>0</v>
      </c>
      <c r="P860" t="n">
        <v>0</v>
      </c>
      <c r="Q860" t="n">
        <v>0</v>
      </c>
      <c r="R860" s="2" t="inlineStr"/>
    </row>
    <row r="861" ht="15" customHeight="1">
      <c r="A861" t="inlineStr">
        <is>
          <t>A 17625-2019</t>
        </is>
      </c>
      <c r="B861" s="1" t="n">
        <v>43556</v>
      </c>
      <c r="C861" s="1" t="n">
        <v>45586</v>
      </c>
      <c r="D861" t="inlineStr">
        <is>
          <t>VÄSTRA GÖTALANDS LÄN</t>
        </is>
      </c>
      <c r="E861" t="inlineStr">
        <is>
          <t>UDDEVALLA</t>
        </is>
      </c>
      <c r="G861" t="n">
        <v>2.2</v>
      </c>
      <c r="H861" t="n">
        <v>0</v>
      </c>
      <c r="I861" t="n">
        <v>0</v>
      </c>
      <c r="J861" t="n">
        <v>0</v>
      </c>
      <c r="K861" t="n">
        <v>0</v>
      </c>
      <c r="L861" t="n">
        <v>0</v>
      </c>
      <c r="M861" t="n">
        <v>0</v>
      </c>
      <c r="N861" t="n">
        <v>0</v>
      </c>
      <c r="O861" t="n">
        <v>0</v>
      </c>
      <c r="P861" t="n">
        <v>0</v>
      </c>
      <c r="Q861" t="n">
        <v>0</v>
      </c>
      <c r="R861" s="2" t="inlineStr"/>
    </row>
    <row r="862" ht="15" customHeight="1">
      <c r="A862" t="inlineStr">
        <is>
          <t>A 17734-2019</t>
        </is>
      </c>
      <c r="B862" s="1" t="n">
        <v>43556</v>
      </c>
      <c r="C862" s="1" t="n">
        <v>45586</v>
      </c>
      <c r="D862" t="inlineStr">
        <is>
          <t>VÄSTRA GÖTALANDS LÄN</t>
        </is>
      </c>
      <c r="E862" t="inlineStr">
        <is>
          <t>ALINGSÅS</t>
        </is>
      </c>
      <c r="G862" t="n">
        <v>1.1</v>
      </c>
      <c r="H862" t="n">
        <v>0</v>
      </c>
      <c r="I862" t="n">
        <v>0</v>
      </c>
      <c r="J862" t="n">
        <v>0</v>
      </c>
      <c r="K862" t="n">
        <v>0</v>
      </c>
      <c r="L862" t="n">
        <v>0</v>
      </c>
      <c r="M862" t="n">
        <v>0</v>
      </c>
      <c r="N862" t="n">
        <v>0</v>
      </c>
      <c r="O862" t="n">
        <v>0</v>
      </c>
      <c r="P862" t="n">
        <v>0</v>
      </c>
      <c r="Q862" t="n">
        <v>0</v>
      </c>
      <c r="R862" s="2" t="inlineStr"/>
    </row>
    <row r="863" ht="15" customHeight="1">
      <c r="A863" t="inlineStr">
        <is>
          <t>A 17801-2019</t>
        </is>
      </c>
      <c r="B863" s="1" t="n">
        <v>43556</v>
      </c>
      <c r="C863" s="1" t="n">
        <v>45586</v>
      </c>
      <c r="D863" t="inlineStr">
        <is>
          <t>VÄSTRA GÖTALANDS LÄN</t>
        </is>
      </c>
      <c r="E863" t="inlineStr">
        <is>
          <t>BORÅS</t>
        </is>
      </c>
      <c r="G863" t="n">
        <v>1.4</v>
      </c>
      <c r="H863" t="n">
        <v>0</v>
      </c>
      <c r="I863" t="n">
        <v>0</v>
      </c>
      <c r="J863" t="n">
        <v>0</v>
      </c>
      <c r="K863" t="n">
        <v>0</v>
      </c>
      <c r="L863" t="n">
        <v>0</v>
      </c>
      <c r="M863" t="n">
        <v>0</v>
      </c>
      <c r="N863" t="n">
        <v>0</v>
      </c>
      <c r="O863" t="n">
        <v>0</v>
      </c>
      <c r="P863" t="n">
        <v>0</v>
      </c>
      <c r="Q863" t="n">
        <v>0</v>
      </c>
      <c r="R863" s="2" t="inlineStr"/>
    </row>
    <row r="864" ht="15" customHeight="1">
      <c r="A864" t="inlineStr">
        <is>
          <t>A 17841-2019</t>
        </is>
      </c>
      <c r="B864" s="1" t="n">
        <v>43556</v>
      </c>
      <c r="C864" s="1" t="n">
        <v>45586</v>
      </c>
      <c r="D864" t="inlineStr">
        <is>
          <t>VÄSTRA GÖTALANDS LÄN</t>
        </is>
      </c>
      <c r="E864" t="inlineStr">
        <is>
          <t>SKÖVDE</t>
        </is>
      </c>
      <c r="G864" t="n">
        <v>1.4</v>
      </c>
      <c r="H864" t="n">
        <v>0</v>
      </c>
      <c r="I864" t="n">
        <v>0</v>
      </c>
      <c r="J864" t="n">
        <v>0</v>
      </c>
      <c r="K864" t="n">
        <v>0</v>
      </c>
      <c r="L864" t="n">
        <v>0</v>
      </c>
      <c r="M864" t="n">
        <v>0</v>
      </c>
      <c r="N864" t="n">
        <v>0</v>
      </c>
      <c r="O864" t="n">
        <v>0</v>
      </c>
      <c r="P864" t="n">
        <v>0</v>
      </c>
      <c r="Q864" t="n">
        <v>0</v>
      </c>
      <c r="R864" s="2" t="inlineStr"/>
    </row>
    <row r="865" ht="15" customHeight="1">
      <c r="A865" t="inlineStr">
        <is>
          <t>A 17958-2019</t>
        </is>
      </c>
      <c r="B865" s="1" t="n">
        <v>43556</v>
      </c>
      <c r="C865" s="1" t="n">
        <v>45586</v>
      </c>
      <c r="D865" t="inlineStr">
        <is>
          <t>VÄSTRA GÖTALANDS LÄN</t>
        </is>
      </c>
      <c r="E865" t="inlineStr">
        <is>
          <t>ÅMÅL</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17772-2019</t>
        </is>
      </c>
      <c r="B866" s="1" t="n">
        <v>43556</v>
      </c>
      <c r="C866" s="1" t="n">
        <v>45586</v>
      </c>
      <c r="D866" t="inlineStr">
        <is>
          <t>VÄSTRA GÖTALANDS LÄN</t>
        </is>
      </c>
      <c r="E866" t="inlineStr">
        <is>
          <t>BENGTSFORS</t>
        </is>
      </c>
      <c r="G866" t="n">
        <v>0.7</v>
      </c>
      <c r="H866" t="n">
        <v>0</v>
      </c>
      <c r="I866" t="n">
        <v>0</v>
      </c>
      <c r="J866" t="n">
        <v>0</v>
      </c>
      <c r="K866" t="n">
        <v>0</v>
      </c>
      <c r="L866" t="n">
        <v>0</v>
      </c>
      <c r="M866" t="n">
        <v>0</v>
      </c>
      <c r="N866" t="n">
        <v>0</v>
      </c>
      <c r="O866" t="n">
        <v>0</v>
      </c>
      <c r="P866" t="n">
        <v>0</v>
      </c>
      <c r="Q866" t="n">
        <v>0</v>
      </c>
      <c r="R866" s="2" t="inlineStr"/>
    </row>
    <row r="867" ht="15" customHeight="1">
      <c r="A867" t="inlineStr">
        <is>
          <t>A 17687-2019</t>
        </is>
      </c>
      <c r="B867" s="1" t="n">
        <v>43556</v>
      </c>
      <c r="C867" s="1" t="n">
        <v>45586</v>
      </c>
      <c r="D867" t="inlineStr">
        <is>
          <t>VÄSTRA GÖTALANDS LÄN</t>
        </is>
      </c>
      <c r="E867" t="inlineStr">
        <is>
          <t>MARIESTAD</t>
        </is>
      </c>
      <c r="G867" t="n">
        <v>1.5</v>
      </c>
      <c r="H867" t="n">
        <v>0</v>
      </c>
      <c r="I867" t="n">
        <v>0</v>
      </c>
      <c r="J867" t="n">
        <v>0</v>
      </c>
      <c r="K867" t="n">
        <v>0</v>
      </c>
      <c r="L867" t="n">
        <v>0</v>
      </c>
      <c r="M867" t="n">
        <v>0</v>
      </c>
      <c r="N867" t="n">
        <v>0</v>
      </c>
      <c r="O867" t="n">
        <v>0</v>
      </c>
      <c r="P867" t="n">
        <v>0</v>
      </c>
      <c r="Q867" t="n">
        <v>0</v>
      </c>
      <c r="R867" s="2" t="inlineStr"/>
    </row>
    <row r="868" ht="15" customHeight="1">
      <c r="A868" t="inlineStr">
        <is>
          <t>A 17645-2019</t>
        </is>
      </c>
      <c r="B868" s="1" t="n">
        <v>43556</v>
      </c>
      <c r="C868" s="1" t="n">
        <v>45586</v>
      </c>
      <c r="D868" t="inlineStr">
        <is>
          <t>VÄSTRA GÖTALANDS LÄN</t>
        </is>
      </c>
      <c r="E868" t="inlineStr">
        <is>
          <t>VÅRGÅRDA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17649-2019</t>
        </is>
      </c>
      <c r="B869" s="1" t="n">
        <v>43556</v>
      </c>
      <c r="C869" s="1" t="n">
        <v>45586</v>
      </c>
      <c r="D869" t="inlineStr">
        <is>
          <t>VÄSTRA GÖTALANDS LÄN</t>
        </is>
      </c>
      <c r="E869" t="inlineStr">
        <is>
          <t>VÅRGÅRDA</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17638-2019</t>
        </is>
      </c>
      <c r="B870" s="1" t="n">
        <v>43556</v>
      </c>
      <c r="C870" s="1" t="n">
        <v>45586</v>
      </c>
      <c r="D870" t="inlineStr">
        <is>
          <t>VÄSTRA GÖTALANDS LÄN</t>
        </is>
      </c>
      <c r="E870" t="inlineStr">
        <is>
          <t>ULRICEHAMN</t>
        </is>
      </c>
      <c r="G870" t="n">
        <v>2.2</v>
      </c>
      <c r="H870" t="n">
        <v>0</v>
      </c>
      <c r="I870" t="n">
        <v>0</v>
      </c>
      <c r="J870" t="n">
        <v>0</v>
      </c>
      <c r="K870" t="n">
        <v>0</v>
      </c>
      <c r="L870" t="n">
        <v>0</v>
      </c>
      <c r="M870" t="n">
        <v>0</v>
      </c>
      <c r="N870" t="n">
        <v>0</v>
      </c>
      <c r="O870" t="n">
        <v>0</v>
      </c>
      <c r="P870" t="n">
        <v>0</v>
      </c>
      <c r="Q870" t="n">
        <v>0</v>
      </c>
      <c r="R870" s="2" t="inlineStr"/>
    </row>
    <row r="871" ht="15" customHeight="1">
      <c r="A871" t="inlineStr">
        <is>
          <t>A 17839-2019</t>
        </is>
      </c>
      <c r="B871" s="1" t="n">
        <v>43556</v>
      </c>
      <c r="C871" s="1" t="n">
        <v>45586</v>
      </c>
      <c r="D871" t="inlineStr">
        <is>
          <t>VÄSTRA GÖTALANDS LÄN</t>
        </is>
      </c>
      <c r="E871" t="inlineStr">
        <is>
          <t>SKÖVDE</t>
        </is>
      </c>
      <c r="G871" t="n">
        <v>2.3</v>
      </c>
      <c r="H871" t="n">
        <v>0</v>
      </c>
      <c r="I871" t="n">
        <v>0</v>
      </c>
      <c r="J871" t="n">
        <v>0</v>
      </c>
      <c r="K871" t="n">
        <v>0</v>
      </c>
      <c r="L871" t="n">
        <v>0</v>
      </c>
      <c r="M871" t="n">
        <v>0</v>
      </c>
      <c r="N871" t="n">
        <v>0</v>
      </c>
      <c r="O871" t="n">
        <v>0</v>
      </c>
      <c r="P871" t="n">
        <v>0</v>
      </c>
      <c r="Q871" t="n">
        <v>0</v>
      </c>
      <c r="R871" s="2" t="inlineStr"/>
    </row>
    <row r="872" ht="15" customHeight="1">
      <c r="A872" t="inlineStr">
        <is>
          <t>A 17650-2019</t>
        </is>
      </c>
      <c r="B872" s="1" t="n">
        <v>43556</v>
      </c>
      <c r="C872" s="1" t="n">
        <v>45586</v>
      </c>
      <c r="D872" t="inlineStr">
        <is>
          <t>VÄSTRA GÖTALANDS LÄN</t>
        </is>
      </c>
      <c r="E872" t="inlineStr">
        <is>
          <t>VÅRGÅRDA</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17641-2019</t>
        </is>
      </c>
      <c r="B873" s="1" t="n">
        <v>43556</v>
      </c>
      <c r="C873" s="1" t="n">
        <v>45586</v>
      </c>
      <c r="D873" t="inlineStr">
        <is>
          <t>VÄSTRA GÖTALANDS LÄN</t>
        </is>
      </c>
      <c r="E873" t="inlineStr">
        <is>
          <t>ULRICEHAMN</t>
        </is>
      </c>
      <c r="G873" t="n">
        <v>2.8</v>
      </c>
      <c r="H873" t="n">
        <v>0</v>
      </c>
      <c r="I873" t="n">
        <v>0</v>
      </c>
      <c r="J873" t="n">
        <v>0</v>
      </c>
      <c r="K873" t="n">
        <v>0</v>
      </c>
      <c r="L873" t="n">
        <v>0</v>
      </c>
      <c r="M873" t="n">
        <v>0</v>
      </c>
      <c r="N873" t="n">
        <v>0</v>
      </c>
      <c r="O873" t="n">
        <v>0</v>
      </c>
      <c r="P873" t="n">
        <v>0</v>
      </c>
      <c r="Q873" t="n">
        <v>0</v>
      </c>
      <c r="R873" s="2" t="inlineStr"/>
    </row>
    <row r="874" ht="15" customHeight="1">
      <c r="A874" t="inlineStr">
        <is>
          <t>A 17863-2019</t>
        </is>
      </c>
      <c r="B874" s="1" t="n">
        <v>43557</v>
      </c>
      <c r="C874" s="1" t="n">
        <v>45586</v>
      </c>
      <c r="D874" t="inlineStr">
        <is>
          <t>VÄSTRA GÖTALANDS LÄN</t>
        </is>
      </c>
      <c r="E874" t="inlineStr">
        <is>
          <t>MELLERUD</t>
        </is>
      </c>
      <c r="G874" t="n">
        <v>1.5</v>
      </c>
      <c r="H874" t="n">
        <v>0</v>
      </c>
      <c r="I874" t="n">
        <v>0</v>
      </c>
      <c r="J874" t="n">
        <v>0</v>
      </c>
      <c r="K874" t="n">
        <v>0</v>
      </c>
      <c r="L874" t="n">
        <v>0</v>
      </c>
      <c r="M874" t="n">
        <v>0</v>
      </c>
      <c r="N874" t="n">
        <v>0</v>
      </c>
      <c r="O874" t="n">
        <v>0</v>
      </c>
      <c r="P874" t="n">
        <v>0</v>
      </c>
      <c r="Q874" t="n">
        <v>0</v>
      </c>
      <c r="R874" s="2" t="inlineStr"/>
    </row>
    <row r="875" ht="15" customHeight="1">
      <c r="A875" t="inlineStr">
        <is>
          <t>A 17920-2019</t>
        </is>
      </c>
      <c r="B875" s="1" t="n">
        <v>43557</v>
      </c>
      <c r="C875" s="1" t="n">
        <v>45586</v>
      </c>
      <c r="D875" t="inlineStr">
        <is>
          <t>VÄSTRA GÖTALANDS LÄN</t>
        </is>
      </c>
      <c r="E875" t="inlineStr">
        <is>
          <t>KARLSBORG</t>
        </is>
      </c>
      <c r="G875" t="n">
        <v>3.8</v>
      </c>
      <c r="H875" t="n">
        <v>0</v>
      </c>
      <c r="I875" t="n">
        <v>0</v>
      </c>
      <c r="J875" t="n">
        <v>0</v>
      </c>
      <c r="K875" t="n">
        <v>0</v>
      </c>
      <c r="L875" t="n">
        <v>0</v>
      </c>
      <c r="M875" t="n">
        <v>0</v>
      </c>
      <c r="N875" t="n">
        <v>0</v>
      </c>
      <c r="O875" t="n">
        <v>0</v>
      </c>
      <c r="P875" t="n">
        <v>0</v>
      </c>
      <c r="Q875" t="n">
        <v>0</v>
      </c>
      <c r="R875" s="2" t="inlineStr"/>
    </row>
    <row r="876" ht="15" customHeight="1">
      <c r="A876" t="inlineStr">
        <is>
          <t>A 18004-2019</t>
        </is>
      </c>
      <c r="B876" s="1" t="n">
        <v>43557</v>
      </c>
      <c r="C876" s="1" t="n">
        <v>45586</v>
      </c>
      <c r="D876" t="inlineStr">
        <is>
          <t>VÄSTRA GÖTALANDS LÄN</t>
        </is>
      </c>
      <c r="E876" t="inlineStr">
        <is>
          <t>FÄRGELANDA</t>
        </is>
      </c>
      <c r="G876" t="n">
        <v>16.6</v>
      </c>
      <c r="H876" t="n">
        <v>0</v>
      </c>
      <c r="I876" t="n">
        <v>0</v>
      </c>
      <c r="J876" t="n">
        <v>0</v>
      </c>
      <c r="K876" t="n">
        <v>0</v>
      </c>
      <c r="L876" t="n">
        <v>0</v>
      </c>
      <c r="M876" t="n">
        <v>0</v>
      </c>
      <c r="N876" t="n">
        <v>0</v>
      </c>
      <c r="O876" t="n">
        <v>0</v>
      </c>
      <c r="P876" t="n">
        <v>0</v>
      </c>
      <c r="Q876" t="n">
        <v>0</v>
      </c>
      <c r="R876" s="2" t="inlineStr"/>
    </row>
    <row r="877" ht="15" customHeight="1">
      <c r="A877" t="inlineStr">
        <is>
          <t>A 17866-2019</t>
        </is>
      </c>
      <c r="B877" s="1" t="n">
        <v>43557</v>
      </c>
      <c r="C877" s="1" t="n">
        <v>45586</v>
      </c>
      <c r="D877" t="inlineStr">
        <is>
          <t>VÄSTRA GÖTALANDS LÄN</t>
        </is>
      </c>
      <c r="E877" t="inlineStr">
        <is>
          <t>MELLERUD</t>
        </is>
      </c>
      <c r="G877" t="n">
        <v>17.6</v>
      </c>
      <c r="H877" t="n">
        <v>0</v>
      </c>
      <c r="I877" t="n">
        <v>0</v>
      </c>
      <c r="J877" t="n">
        <v>0</v>
      </c>
      <c r="K877" t="n">
        <v>0</v>
      </c>
      <c r="L877" t="n">
        <v>0</v>
      </c>
      <c r="M877" t="n">
        <v>0</v>
      </c>
      <c r="N877" t="n">
        <v>0</v>
      </c>
      <c r="O877" t="n">
        <v>0</v>
      </c>
      <c r="P877" t="n">
        <v>0</v>
      </c>
      <c r="Q877" t="n">
        <v>0</v>
      </c>
      <c r="R877" s="2" t="inlineStr"/>
    </row>
    <row r="878" ht="15" customHeight="1">
      <c r="A878" t="inlineStr">
        <is>
          <t>A 18387-2019</t>
        </is>
      </c>
      <c r="B878" s="1" t="n">
        <v>43557</v>
      </c>
      <c r="C878" s="1" t="n">
        <v>45586</v>
      </c>
      <c r="D878" t="inlineStr">
        <is>
          <t>VÄSTRA GÖTALANDS LÄN</t>
        </is>
      </c>
      <c r="E878" t="inlineStr">
        <is>
          <t>ÅMÅL</t>
        </is>
      </c>
      <c r="G878" t="n">
        <v>1.7</v>
      </c>
      <c r="H878" t="n">
        <v>0</v>
      </c>
      <c r="I878" t="n">
        <v>0</v>
      </c>
      <c r="J878" t="n">
        <v>0</v>
      </c>
      <c r="K878" t="n">
        <v>0</v>
      </c>
      <c r="L878" t="n">
        <v>0</v>
      </c>
      <c r="M878" t="n">
        <v>0</v>
      </c>
      <c r="N878" t="n">
        <v>0</v>
      </c>
      <c r="O878" t="n">
        <v>0</v>
      </c>
      <c r="P878" t="n">
        <v>0</v>
      </c>
      <c r="Q878" t="n">
        <v>0</v>
      </c>
      <c r="R878" s="2" t="inlineStr"/>
    </row>
    <row r="879" ht="15" customHeight="1">
      <c r="A879" t="inlineStr">
        <is>
          <t>A 18062-2019</t>
        </is>
      </c>
      <c r="B879" s="1" t="n">
        <v>43557</v>
      </c>
      <c r="C879" s="1" t="n">
        <v>45586</v>
      </c>
      <c r="D879" t="inlineStr">
        <is>
          <t>VÄSTRA GÖTALANDS LÄN</t>
        </is>
      </c>
      <c r="E879" t="inlineStr">
        <is>
          <t>TIDAHOLM</t>
        </is>
      </c>
      <c r="G879" t="n">
        <v>7.3</v>
      </c>
      <c r="H879" t="n">
        <v>0</v>
      </c>
      <c r="I879" t="n">
        <v>0</v>
      </c>
      <c r="J879" t="n">
        <v>0</v>
      </c>
      <c r="K879" t="n">
        <v>0</v>
      </c>
      <c r="L879" t="n">
        <v>0</v>
      </c>
      <c r="M879" t="n">
        <v>0</v>
      </c>
      <c r="N879" t="n">
        <v>0</v>
      </c>
      <c r="O879" t="n">
        <v>0</v>
      </c>
      <c r="P879" t="n">
        <v>0</v>
      </c>
      <c r="Q879" t="n">
        <v>0</v>
      </c>
      <c r="R879" s="2" t="inlineStr"/>
    </row>
    <row r="880" ht="15" customHeight="1">
      <c r="A880" t="inlineStr">
        <is>
          <t>A 18371-2019</t>
        </is>
      </c>
      <c r="B880" s="1" t="n">
        <v>43557</v>
      </c>
      <c r="C880" s="1" t="n">
        <v>45586</v>
      </c>
      <c r="D880" t="inlineStr">
        <is>
          <t>VÄSTRA GÖTALANDS LÄN</t>
        </is>
      </c>
      <c r="E880" t="inlineStr">
        <is>
          <t>VARA</t>
        </is>
      </c>
      <c r="G880" t="n">
        <v>1.5</v>
      </c>
      <c r="H880" t="n">
        <v>0</v>
      </c>
      <c r="I880" t="n">
        <v>0</v>
      </c>
      <c r="J880" t="n">
        <v>0</v>
      </c>
      <c r="K880" t="n">
        <v>0</v>
      </c>
      <c r="L880" t="n">
        <v>0</v>
      </c>
      <c r="M880" t="n">
        <v>0</v>
      </c>
      <c r="N880" t="n">
        <v>0</v>
      </c>
      <c r="O880" t="n">
        <v>0</v>
      </c>
      <c r="P880" t="n">
        <v>0</v>
      </c>
      <c r="Q880" t="n">
        <v>0</v>
      </c>
      <c r="R880" s="2" t="inlineStr"/>
    </row>
    <row r="881" ht="15" customHeight="1">
      <c r="A881" t="inlineStr">
        <is>
          <t>A 17861-2019</t>
        </is>
      </c>
      <c r="B881" s="1" t="n">
        <v>43557</v>
      </c>
      <c r="C881" s="1" t="n">
        <v>45586</v>
      </c>
      <c r="D881" t="inlineStr">
        <is>
          <t>VÄSTRA GÖTALANDS LÄN</t>
        </is>
      </c>
      <c r="E881" t="inlineStr">
        <is>
          <t>MELLERUD</t>
        </is>
      </c>
      <c r="G881" t="n">
        <v>12.9</v>
      </c>
      <c r="H881" t="n">
        <v>0</v>
      </c>
      <c r="I881" t="n">
        <v>0</v>
      </c>
      <c r="J881" t="n">
        <v>0</v>
      </c>
      <c r="K881" t="n">
        <v>0</v>
      </c>
      <c r="L881" t="n">
        <v>0</v>
      </c>
      <c r="M881" t="n">
        <v>0</v>
      </c>
      <c r="N881" t="n">
        <v>0</v>
      </c>
      <c r="O881" t="n">
        <v>0</v>
      </c>
      <c r="P881" t="n">
        <v>0</v>
      </c>
      <c r="Q881" t="n">
        <v>0</v>
      </c>
      <c r="R881" s="2" t="inlineStr"/>
    </row>
    <row r="882" ht="15" customHeight="1">
      <c r="A882" t="inlineStr">
        <is>
          <t>A 18154-2019</t>
        </is>
      </c>
      <c r="B882" s="1" t="n">
        <v>43558</v>
      </c>
      <c r="C882" s="1" t="n">
        <v>45586</v>
      </c>
      <c r="D882" t="inlineStr">
        <is>
          <t>VÄSTRA GÖTALANDS LÄN</t>
        </is>
      </c>
      <c r="E882" t="inlineStr">
        <is>
          <t>SVENLJUNGA</t>
        </is>
      </c>
      <c r="G882" t="n">
        <v>4.2</v>
      </c>
      <c r="H882" t="n">
        <v>0</v>
      </c>
      <c r="I882" t="n">
        <v>0</v>
      </c>
      <c r="J882" t="n">
        <v>0</v>
      </c>
      <c r="K882" t="n">
        <v>0</v>
      </c>
      <c r="L882" t="n">
        <v>0</v>
      </c>
      <c r="M882" t="n">
        <v>0</v>
      </c>
      <c r="N882" t="n">
        <v>0</v>
      </c>
      <c r="O882" t="n">
        <v>0</v>
      </c>
      <c r="P882" t="n">
        <v>0</v>
      </c>
      <c r="Q882" t="n">
        <v>0</v>
      </c>
      <c r="R882" s="2" t="inlineStr"/>
    </row>
    <row r="883" ht="15" customHeight="1">
      <c r="A883" t="inlineStr">
        <is>
          <t>A 18128-2019</t>
        </is>
      </c>
      <c r="B883" s="1" t="n">
        <v>43558</v>
      </c>
      <c r="C883" s="1" t="n">
        <v>45586</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18080-2019</t>
        </is>
      </c>
      <c r="B884" s="1" t="n">
        <v>43558</v>
      </c>
      <c r="C884" s="1" t="n">
        <v>45586</v>
      </c>
      <c r="D884" t="inlineStr">
        <is>
          <t>VÄSTRA GÖTALANDS LÄN</t>
        </is>
      </c>
      <c r="E884" t="inlineStr">
        <is>
          <t>ALINGSÅS</t>
        </is>
      </c>
      <c r="G884" t="n">
        <v>1.1</v>
      </c>
      <c r="H884" t="n">
        <v>0</v>
      </c>
      <c r="I884" t="n">
        <v>0</v>
      </c>
      <c r="J884" t="n">
        <v>0</v>
      </c>
      <c r="K884" t="n">
        <v>0</v>
      </c>
      <c r="L884" t="n">
        <v>0</v>
      </c>
      <c r="M884" t="n">
        <v>0</v>
      </c>
      <c r="N884" t="n">
        <v>0</v>
      </c>
      <c r="O884" t="n">
        <v>0</v>
      </c>
      <c r="P884" t="n">
        <v>0</v>
      </c>
      <c r="Q884" t="n">
        <v>0</v>
      </c>
      <c r="R884" s="2" t="inlineStr"/>
    </row>
    <row r="885" ht="15" customHeight="1">
      <c r="A885" t="inlineStr">
        <is>
          <t>A 18125-2019</t>
        </is>
      </c>
      <c r="B885" s="1" t="n">
        <v>43558</v>
      </c>
      <c r="C885" s="1" t="n">
        <v>45586</v>
      </c>
      <c r="D885" t="inlineStr">
        <is>
          <t>VÄSTRA GÖTALANDS LÄN</t>
        </is>
      </c>
      <c r="E885" t="inlineStr">
        <is>
          <t>LYSEKIL</t>
        </is>
      </c>
      <c r="G885" t="n">
        <v>1.6</v>
      </c>
      <c r="H885" t="n">
        <v>0</v>
      </c>
      <c r="I885" t="n">
        <v>0</v>
      </c>
      <c r="J885" t="n">
        <v>0</v>
      </c>
      <c r="K885" t="n">
        <v>0</v>
      </c>
      <c r="L885" t="n">
        <v>0</v>
      </c>
      <c r="M885" t="n">
        <v>0</v>
      </c>
      <c r="N885" t="n">
        <v>0</v>
      </c>
      <c r="O885" t="n">
        <v>0</v>
      </c>
      <c r="P885" t="n">
        <v>0</v>
      </c>
      <c r="Q885" t="n">
        <v>0</v>
      </c>
      <c r="R885" s="2" t="inlineStr"/>
    </row>
    <row r="886" ht="15" customHeight="1">
      <c r="A886" t="inlineStr">
        <is>
          <t>A 18287-2019</t>
        </is>
      </c>
      <c r="B886" s="1" t="n">
        <v>43558</v>
      </c>
      <c r="C886" s="1" t="n">
        <v>45586</v>
      </c>
      <c r="D886" t="inlineStr">
        <is>
          <t>VÄSTRA GÖTALANDS LÄN</t>
        </is>
      </c>
      <c r="E886" t="inlineStr">
        <is>
          <t>FÄRGELANDA</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18205-2019</t>
        </is>
      </c>
      <c r="B887" s="1" t="n">
        <v>43558</v>
      </c>
      <c r="C887" s="1" t="n">
        <v>45586</v>
      </c>
      <c r="D887" t="inlineStr">
        <is>
          <t>VÄSTRA GÖTALANDS LÄN</t>
        </is>
      </c>
      <c r="E887" t="inlineStr">
        <is>
          <t>SOTENÄS</t>
        </is>
      </c>
      <c r="G887" t="n">
        <v>1.7</v>
      </c>
      <c r="H887" t="n">
        <v>0</v>
      </c>
      <c r="I887" t="n">
        <v>0</v>
      </c>
      <c r="J887" t="n">
        <v>0</v>
      </c>
      <c r="K887" t="n">
        <v>0</v>
      </c>
      <c r="L887" t="n">
        <v>0</v>
      </c>
      <c r="M887" t="n">
        <v>0</v>
      </c>
      <c r="N887" t="n">
        <v>0</v>
      </c>
      <c r="O887" t="n">
        <v>0</v>
      </c>
      <c r="P887" t="n">
        <v>0</v>
      </c>
      <c r="Q887" t="n">
        <v>0</v>
      </c>
      <c r="R887" s="2" t="inlineStr"/>
    </row>
    <row r="888" ht="15" customHeight="1">
      <c r="A888" t="inlineStr">
        <is>
          <t>A 18329-2019</t>
        </is>
      </c>
      <c r="B888" s="1" t="n">
        <v>43558</v>
      </c>
      <c r="C888" s="1" t="n">
        <v>45586</v>
      </c>
      <c r="D888" t="inlineStr">
        <is>
          <t>VÄSTRA GÖTALANDS LÄN</t>
        </is>
      </c>
      <c r="E888" t="inlineStr">
        <is>
          <t>DALS-ED</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18288-2019</t>
        </is>
      </c>
      <c r="B889" s="1" t="n">
        <v>43558</v>
      </c>
      <c r="C889" s="1" t="n">
        <v>45586</v>
      </c>
      <c r="D889" t="inlineStr">
        <is>
          <t>VÄSTRA GÖTALANDS LÄN</t>
        </is>
      </c>
      <c r="E889" t="inlineStr">
        <is>
          <t>FÄRGELANDA</t>
        </is>
      </c>
      <c r="G889" t="n">
        <v>11.4</v>
      </c>
      <c r="H889" t="n">
        <v>0</v>
      </c>
      <c r="I889" t="n">
        <v>0</v>
      </c>
      <c r="J889" t="n">
        <v>0</v>
      </c>
      <c r="K889" t="n">
        <v>0</v>
      </c>
      <c r="L889" t="n">
        <v>0</v>
      </c>
      <c r="M889" t="n">
        <v>0</v>
      </c>
      <c r="N889" t="n">
        <v>0</v>
      </c>
      <c r="O889" t="n">
        <v>0</v>
      </c>
      <c r="P889" t="n">
        <v>0</v>
      </c>
      <c r="Q889" t="n">
        <v>0</v>
      </c>
      <c r="R889" s="2" t="inlineStr"/>
    </row>
    <row r="890" ht="15" customHeight="1">
      <c r="A890" t="inlineStr">
        <is>
          <t>A 18232-2019</t>
        </is>
      </c>
      <c r="B890" s="1" t="n">
        <v>43558</v>
      </c>
      <c r="C890" s="1" t="n">
        <v>45586</v>
      </c>
      <c r="D890" t="inlineStr">
        <is>
          <t>VÄSTRA GÖTALANDS LÄN</t>
        </is>
      </c>
      <c r="E890" t="inlineStr">
        <is>
          <t>BENGTSFORS</t>
        </is>
      </c>
      <c r="G890" t="n">
        <v>12.7</v>
      </c>
      <c r="H890" t="n">
        <v>0</v>
      </c>
      <c r="I890" t="n">
        <v>0</v>
      </c>
      <c r="J890" t="n">
        <v>0</v>
      </c>
      <c r="K890" t="n">
        <v>0</v>
      </c>
      <c r="L890" t="n">
        <v>0</v>
      </c>
      <c r="M890" t="n">
        <v>0</v>
      </c>
      <c r="N890" t="n">
        <v>0</v>
      </c>
      <c r="O890" t="n">
        <v>0</v>
      </c>
      <c r="P890" t="n">
        <v>0</v>
      </c>
      <c r="Q890" t="n">
        <v>0</v>
      </c>
      <c r="R890" s="2" t="inlineStr"/>
    </row>
    <row r="891" ht="15" customHeight="1">
      <c r="A891" t="inlineStr">
        <is>
          <t>A 18458-2019</t>
        </is>
      </c>
      <c r="B891" s="1" t="n">
        <v>43559</v>
      </c>
      <c r="C891" s="1" t="n">
        <v>45586</v>
      </c>
      <c r="D891" t="inlineStr">
        <is>
          <t>VÄSTRA GÖTALANDS LÄN</t>
        </is>
      </c>
      <c r="E891" t="inlineStr">
        <is>
          <t>MUNKEDAL</t>
        </is>
      </c>
      <c r="G891" t="n">
        <v>2.9</v>
      </c>
      <c r="H891" t="n">
        <v>0</v>
      </c>
      <c r="I891" t="n">
        <v>0</v>
      </c>
      <c r="J891" t="n">
        <v>0</v>
      </c>
      <c r="K891" t="n">
        <v>0</v>
      </c>
      <c r="L891" t="n">
        <v>0</v>
      </c>
      <c r="M891" t="n">
        <v>0</v>
      </c>
      <c r="N891" t="n">
        <v>0</v>
      </c>
      <c r="O891" t="n">
        <v>0</v>
      </c>
      <c r="P891" t="n">
        <v>0</v>
      </c>
      <c r="Q891" t="n">
        <v>0</v>
      </c>
      <c r="R891" s="2" t="inlineStr"/>
    </row>
    <row r="892" ht="15" customHeight="1">
      <c r="A892" t="inlineStr">
        <is>
          <t>A 18330-2019</t>
        </is>
      </c>
      <c r="B892" s="1" t="n">
        <v>43559</v>
      </c>
      <c r="C892" s="1" t="n">
        <v>45586</v>
      </c>
      <c r="D892" t="inlineStr">
        <is>
          <t>VÄSTRA GÖTALANDS LÄN</t>
        </is>
      </c>
      <c r="E892" t="inlineStr">
        <is>
          <t>STENUNGSUND</t>
        </is>
      </c>
      <c r="G892" t="n">
        <v>1.2</v>
      </c>
      <c r="H892" t="n">
        <v>0</v>
      </c>
      <c r="I892" t="n">
        <v>0</v>
      </c>
      <c r="J892" t="n">
        <v>0</v>
      </c>
      <c r="K892" t="n">
        <v>0</v>
      </c>
      <c r="L892" t="n">
        <v>0</v>
      </c>
      <c r="M892" t="n">
        <v>0</v>
      </c>
      <c r="N892" t="n">
        <v>0</v>
      </c>
      <c r="O892" t="n">
        <v>0</v>
      </c>
      <c r="P892" t="n">
        <v>0</v>
      </c>
      <c r="Q892" t="n">
        <v>0</v>
      </c>
      <c r="R892" s="2" t="inlineStr"/>
    </row>
    <row r="893" ht="15" customHeight="1">
      <c r="A893" t="inlineStr">
        <is>
          <t>A 18428-2019</t>
        </is>
      </c>
      <c r="B893" s="1" t="n">
        <v>43559</v>
      </c>
      <c r="C893" s="1" t="n">
        <v>45586</v>
      </c>
      <c r="D893" t="inlineStr">
        <is>
          <t>VÄSTRA GÖTALANDS LÄN</t>
        </is>
      </c>
      <c r="E893" t="inlineStr">
        <is>
          <t>BORÅS</t>
        </is>
      </c>
      <c r="G893" t="n">
        <v>1.2</v>
      </c>
      <c r="H893" t="n">
        <v>0</v>
      </c>
      <c r="I893" t="n">
        <v>0</v>
      </c>
      <c r="J893" t="n">
        <v>0</v>
      </c>
      <c r="K893" t="n">
        <v>0</v>
      </c>
      <c r="L893" t="n">
        <v>0</v>
      </c>
      <c r="M893" t="n">
        <v>0</v>
      </c>
      <c r="N893" t="n">
        <v>0</v>
      </c>
      <c r="O893" t="n">
        <v>0</v>
      </c>
      <c r="P893" t="n">
        <v>0</v>
      </c>
      <c r="Q893" t="n">
        <v>0</v>
      </c>
      <c r="R893" s="2" t="inlineStr"/>
    </row>
    <row r="894" ht="15" customHeight="1">
      <c r="A894" t="inlineStr">
        <is>
          <t>A 18403-2019</t>
        </is>
      </c>
      <c r="B894" s="1" t="n">
        <v>43559</v>
      </c>
      <c r="C894" s="1" t="n">
        <v>45586</v>
      </c>
      <c r="D894" t="inlineStr">
        <is>
          <t>VÄSTRA GÖTALANDS LÄN</t>
        </is>
      </c>
      <c r="E894" t="inlineStr">
        <is>
          <t>BOLLEBYGD</t>
        </is>
      </c>
      <c r="G894" t="n">
        <v>2.1</v>
      </c>
      <c r="H894" t="n">
        <v>0</v>
      </c>
      <c r="I894" t="n">
        <v>0</v>
      </c>
      <c r="J894" t="n">
        <v>0</v>
      </c>
      <c r="K894" t="n">
        <v>0</v>
      </c>
      <c r="L894" t="n">
        <v>0</v>
      </c>
      <c r="M894" t="n">
        <v>0</v>
      </c>
      <c r="N894" t="n">
        <v>0</v>
      </c>
      <c r="O894" t="n">
        <v>0</v>
      </c>
      <c r="P894" t="n">
        <v>0</v>
      </c>
      <c r="Q894" t="n">
        <v>0</v>
      </c>
      <c r="R894" s="2" t="inlineStr"/>
    </row>
    <row r="895" ht="15" customHeight="1">
      <c r="A895" t="inlineStr">
        <is>
          <t>A 18440-2019</t>
        </is>
      </c>
      <c r="B895" s="1" t="n">
        <v>43559</v>
      </c>
      <c r="C895" s="1" t="n">
        <v>45586</v>
      </c>
      <c r="D895" t="inlineStr">
        <is>
          <t>VÄSTRA GÖTALANDS LÄN</t>
        </is>
      </c>
      <c r="E895" t="inlineStr">
        <is>
          <t>MARK</t>
        </is>
      </c>
      <c r="G895" t="n">
        <v>5.1</v>
      </c>
      <c r="H895" t="n">
        <v>0</v>
      </c>
      <c r="I895" t="n">
        <v>0</v>
      </c>
      <c r="J895" t="n">
        <v>0</v>
      </c>
      <c r="K895" t="n">
        <v>0</v>
      </c>
      <c r="L895" t="n">
        <v>0</v>
      </c>
      <c r="M895" t="n">
        <v>0</v>
      </c>
      <c r="N895" t="n">
        <v>0</v>
      </c>
      <c r="O895" t="n">
        <v>0</v>
      </c>
      <c r="P895" t="n">
        <v>0</v>
      </c>
      <c r="Q895" t="n">
        <v>0</v>
      </c>
      <c r="R895" s="2" t="inlineStr"/>
    </row>
    <row r="896" ht="15" customHeight="1">
      <c r="A896" t="inlineStr">
        <is>
          <t>A 18362-2019</t>
        </is>
      </c>
      <c r="B896" s="1" t="n">
        <v>43559</v>
      </c>
      <c r="C896" s="1" t="n">
        <v>45586</v>
      </c>
      <c r="D896" t="inlineStr">
        <is>
          <t>VÄSTRA GÖTALANDS LÄN</t>
        </is>
      </c>
      <c r="E896" t="inlineStr">
        <is>
          <t>MUNKEDAL</t>
        </is>
      </c>
      <c r="G896" t="n">
        <v>0.3</v>
      </c>
      <c r="H896" t="n">
        <v>0</v>
      </c>
      <c r="I896" t="n">
        <v>0</v>
      </c>
      <c r="J896" t="n">
        <v>0</v>
      </c>
      <c r="K896" t="n">
        <v>0</v>
      </c>
      <c r="L896" t="n">
        <v>0</v>
      </c>
      <c r="M896" t="n">
        <v>0</v>
      </c>
      <c r="N896" t="n">
        <v>0</v>
      </c>
      <c r="O896" t="n">
        <v>0</v>
      </c>
      <c r="P896" t="n">
        <v>0</v>
      </c>
      <c r="Q896" t="n">
        <v>0</v>
      </c>
      <c r="R896" s="2" t="inlineStr"/>
    </row>
    <row r="897" ht="15" customHeight="1">
      <c r="A897" t="inlineStr">
        <is>
          <t>A 18444-2019</t>
        </is>
      </c>
      <c r="B897" s="1" t="n">
        <v>43559</v>
      </c>
      <c r="C897" s="1" t="n">
        <v>45586</v>
      </c>
      <c r="D897" t="inlineStr">
        <is>
          <t>VÄSTRA GÖTALANDS LÄN</t>
        </is>
      </c>
      <c r="E897" t="inlineStr">
        <is>
          <t>MARK</t>
        </is>
      </c>
      <c r="G897" t="n">
        <v>2.1</v>
      </c>
      <c r="H897" t="n">
        <v>0</v>
      </c>
      <c r="I897" t="n">
        <v>0</v>
      </c>
      <c r="J897" t="n">
        <v>0</v>
      </c>
      <c r="K897" t="n">
        <v>0</v>
      </c>
      <c r="L897" t="n">
        <v>0</v>
      </c>
      <c r="M897" t="n">
        <v>0</v>
      </c>
      <c r="N897" t="n">
        <v>0</v>
      </c>
      <c r="O897" t="n">
        <v>0</v>
      </c>
      <c r="P897" t="n">
        <v>0</v>
      </c>
      <c r="Q897" t="n">
        <v>0</v>
      </c>
      <c r="R897" s="2" t="inlineStr"/>
    </row>
    <row r="898" ht="15" customHeight="1">
      <c r="A898" t="inlineStr">
        <is>
          <t>A 18519-2019</t>
        </is>
      </c>
      <c r="B898" s="1" t="n">
        <v>43559</v>
      </c>
      <c r="C898" s="1" t="n">
        <v>45586</v>
      </c>
      <c r="D898" t="inlineStr">
        <is>
          <t>VÄSTRA GÖTALANDS LÄN</t>
        </is>
      </c>
      <c r="E898" t="inlineStr">
        <is>
          <t>LIDKÖPING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18642-2019</t>
        </is>
      </c>
      <c r="B899" s="1" t="n">
        <v>43559</v>
      </c>
      <c r="C899" s="1" t="n">
        <v>45586</v>
      </c>
      <c r="D899" t="inlineStr">
        <is>
          <t>VÄSTRA GÖTALANDS LÄN</t>
        </is>
      </c>
      <c r="E899" t="inlineStr">
        <is>
          <t>FÄRGELANDA</t>
        </is>
      </c>
      <c r="G899" t="n">
        <v>0.9</v>
      </c>
      <c r="H899" t="n">
        <v>0</v>
      </c>
      <c r="I899" t="n">
        <v>0</v>
      </c>
      <c r="J899" t="n">
        <v>0</v>
      </c>
      <c r="K899" t="n">
        <v>0</v>
      </c>
      <c r="L899" t="n">
        <v>0</v>
      </c>
      <c r="M899" t="n">
        <v>0</v>
      </c>
      <c r="N899" t="n">
        <v>0</v>
      </c>
      <c r="O899" t="n">
        <v>0</v>
      </c>
      <c r="P899" t="n">
        <v>0</v>
      </c>
      <c r="Q899" t="n">
        <v>0</v>
      </c>
      <c r="R899" s="2" t="inlineStr"/>
    </row>
    <row r="900" ht="15" customHeight="1">
      <c r="A900" t="inlineStr">
        <is>
          <t>A 18568-2019</t>
        </is>
      </c>
      <c r="B900" s="1" t="n">
        <v>43559</v>
      </c>
      <c r="C900" s="1" t="n">
        <v>45586</v>
      </c>
      <c r="D900" t="inlineStr">
        <is>
          <t>VÄSTRA GÖTALANDS LÄN</t>
        </is>
      </c>
      <c r="E900" t="inlineStr">
        <is>
          <t>SVENLJUNGA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18341-2019</t>
        </is>
      </c>
      <c r="B901" s="1" t="n">
        <v>43559</v>
      </c>
      <c r="C901" s="1" t="n">
        <v>45586</v>
      </c>
      <c r="D901" t="inlineStr">
        <is>
          <t>VÄSTRA GÖTALANDS LÄN</t>
        </is>
      </c>
      <c r="E901" t="inlineStr">
        <is>
          <t>KUNGÄLV</t>
        </is>
      </c>
      <c r="G901" t="n">
        <v>6.3</v>
      </c>
      <c r="H901" t="n">
        <v>0</v>
      </c>
      <c r="I901" t="n">
        <v>0</v>
      </c>
      <c r="J901" t="n">
        <v>0</v>
      </c>
      <c r="K901" t="n">
        <v>0</v>
      </c>
      <c r="L901" t="n">
        <v>0</v>
      </c>
      <c r="M901" t="n">
        <v>0</v>
      </c>
      <c r="N901" t="n">
        <v>0</v>
      </c>
      <c r="O901" t="n">
        <v>0</v>
      </c>
      <c r="P901" t="n">
        <v>0</v>
      </c>
      <c r="Q901" t="n">
        <v>0</v>
      </c>
      <c r="R901" s="2" t="inlineStr"/>
    </row>
    <row r="902" ht="15" customHeight="1">
      <c r="A902" t="inlineStr">
        <is>
          <t>A 18567-2019</t>
        </is>
      </c>
      <c r="B902" s="1" t="n">
        <v>43559</v>
      </c>
      <c r="C902" s="1" t="n">
        <v>45586</v>
      </c>
      <c r="D902" t="inlineStr">
        <is>
          <t>VÄSTRA GÖTALANDS LÄN</t>
        </is>
      </c>
      <c r="E902" t="inlineStr">
        <is>
          <t>SVENLJUNGA</t>
        </is>
      </c>
      <c r="G902" t="n">
        <v>1.3</v>
      </c>
      <c r="H902" t="n">
        <v>0</v>
      </c>
      <c r="I902" t="n">
        <v>0</v>
      </c>
      <c r="J902" t="n">
        <v>0</v>
      </c>
      <c r="K902" t="n">
        <v>0</v>
      </c>
      <c r="L902" t="n">
        <v>0</v>
      </c>
      <c r="M902" t="n">
        <v>0</v>
      </c>
      <c r="N902" t="n">
        <v>0</v>
      </c>
      <c r="O902" t="n">
        <v>0</v>
      </c>
      <c r="P902" t="n">
        <v>0</v>
      </c>
      <c r="Q902" t="n">
        <v>0</v>
      </c>
      <c r="R902" s="2" t="inlineStr"/>
    </row>
    <row r="903" ht="15" customHeight="1">
      <c r="A903" t="inlineStr">
        <is>
          <t>A 18562-2019</t>
        </is>
      </c>
      <c r="B903" s="1" t="n">
        <v>43559</v>
      </c>
      <c r="C903" s="1" t="n">
        <v>45586</v>
      </c>
      <c r="D903" t="inlineStr">
        <is>
          <t>VÄSTRA GÖTALANDS LÄN</t>
        </is>
      </c>
      <c r="E903" t="inlineStr">
        <is>
          <t>BORÅS</t>
        </is>
      </c>
      <c r="G903" t="n">
        <v>3.4</v>
      </c>
      <c r="H903" t="n">
        <v>0</v>
      </c>
      <c r="I903" t="n">
        <v>0</v>
      </c>
      <c r="J903" t="n">
        <v>0</v>
      </c>
      <c r="K903" t="n">
        <v>0</v>
      </c>
      <c r="L903" t="n">
        <v>0</v>
      </c>
      <c r="M903" t="n">
        <v>0</v>
      </c>
      <c r="N903" t="n">
        <v>0</v>
      </c>
      <c r="O903" t="n">
        <v>0</v>
      </c>
      <c r="P903" t="n">
        <v>0</v>
      </c>
      <c r="Q903" t="n">
        <v>0</v>
      </c>
      <c r="R903" s="2" t="inlineStr"/>
    </row>
    <row r="904" ht="15" customHeight="1">
      <c r="A904" t="inlineStr">
        <is>
          <t>A 18507-2019</t>
        </is>
      </c>
      <c r="B904" s="1" t="n">
        <v>43559</v>
      </c>
      <c r="C904" s="1" t="n">
        <v>45586</v>
      </c>
      <c r="D904" t="inlineStr">
        <is>
          <t>VÄSTRA GÖTALANDS LÄN</t>
        </is>
      </c>
      <c r="E904" t="inlineStr">
        <is>
          <t>LIDKÖPING</t>
        </is>
      </c>
      <c r="G904" t="n">
        <v>5.4</v>
      </c>
      <c r="H904" t="n">
        <v>0</v>
      </c>
      <c r="I904" t="n">
        <v>0</v>
      </c>
      <c r="J904" t="n">
        <v>0</v>
      </c>
      <c r="K904" t="n">
        <v>0</v>
      </c>
      <c r="L904" t="n">
        <v>0</v>
      </c>
      <c r="M904" t="n">
        <v>0</v>
      </c>
      <c r="N904" t="n">
        <v>0</v>
      </c>
      <c r="O904" t="n">
        <v>0</v>
      </c>
      <c r="P904" t="n">
        <v>0</v>
      </c>
      <c r="Q904" t="n">
        <v>0</v>
      </c>
      <c r="R904" s="2" t="inlineStr"/>
    </row>
    <row r="905" ht="15" customHeight="1">
      <c r="A905" t="inlineStr">
        <is>
          <t>A 18487-2019</t>
        </is>
      </c>
      <c r="B905" s="1" t="n">
        <v>43559</v>
      </c>
      <c r="C905" s="1" t="n">
        <v>45586</v>
      </c>
      <c r="D905" t="inlineStr">
        <is>
          <t>VÄSTRA GÖTALANDS LÄN</t>
        </is>
      </c>
      <c r="E905" t="inlineStr">
        <is>
          <t>UDDEVALLA</t>
        </is>
      </c>
      <c r="G905" t="n">
        <v>3.6</v>
      </c>
      <c r="H905" t="n">
        <v>0</v>
      </c>
      <c r="I905" t="n">
        <v>0</v>
      </c>
      <c r="J905" t="n">
        <v>0</v>
      </c>
      <c r="K905" t="n">
        <v>0</v>
      </c>
      <c r="L905" t="n">
        <v>0</v>
      </c>
      <c r="M905" t="n">
        <v>0</v>
      </c>
      <c r="N905" t="n">
        <v>0</v>
      </c>
      <c r="O905" t="n">
        <v>0</v>
      </c>
      <c r="P905" t="n">
        <v>0</v>
      </c>
      <c r="Q905" t="n">
        <v>0</v>
      </c>
      <c r="R905" s="2" t="inlineStr"/>
    </row>
    <row r="906" ht="15" customHeight="1">
      <c r="A906" t="inlineStr">
        <is>
          <t>A 18441-2019</t>
        </is>
      </c>
      <c r="B906" s="1" t="n">
        <v>43559</v>
      </c>
      <c r="C906" s="1" t="n">
        <v>45586</v>
      </c>
      <c r="D906" t="inlineStr">
        <is>
          <t>VÄSTRA GÖTALANDS LÄN</t>
        </is>
      </c>
      <c r="E906" t="inlineStr">
        <is>
          <t>MARK</t>
        </is>
      </c>
      <c r="G906" t="n">
        <v>2.4</v>
      </c>
      <c r="H906" t="n">
        <v>0</v>
      </c>
      <c r="I906" t="n">
        <v>0</v>
      </c>
      <c r="J906" t="n">
        <v>0</v>
      </c>
      <c r="K906" t="n">
        <v>0</v>
      </c>
      <c r="L906" t="n">
        <v>0</v>
      </c>
      <c r="M906" t="n">
        <v>0</v>
      </c>
      <c r="N906" t="n">
        <v>0</v>
      </c>
      <c r="O906" t="n">
        <v>0</v>
      </c>
      <c r="P906" t="n">
        <v>0</v>
      </c>
      <c r="Q906" t="n">
        <v>0</v>
      </c>
      <c r="R906" s="2" t="inlineStr"/>
    </row>
    <row r="907" ht="15" customHeight="1">
      <c r="A907" t="inlineStr">
        <is>
          <t>A 18408-2019</t>
        </is>
      </c>
      <c r="B907" s="1" t="n">
        <v>43559</v>
      </c>
      <c r="C907" s="1" t="n">
        <v>45586</v>
      </c>
      <c r="D907" t="inlineStr">
        <is>
          <t>VÄSTRA GÖTALANDS LÄN</t>
        </is>
      </c>
      <c r="E907" t="inlineStr">
        <is>
          <t>TIBRO</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18320-2019</t>
        </is>
      </c>
      <c r="B908" s="1" t="n">
        <v>43559</v>
      </c>
      <c r="C908" s="1" t="n">
        <v>45586</v>
      </c>
      <c r="D908" t="inlineStr">
        <is>
          <t>VÄSTRA GÖTALANDS LÄN</t>
        </is>
      </c>
      <c r="E908" t="inlineStr">
        <is>
          <t>SKARA</t>
        </is>
      </c>
      <c r="G908" t="n">
        <v>1.7</v>
      </c>
      <c r="H908" t="n">
        <v>0</v>
      </c>
      <c r="I908" t="n">
        <v>0</v>
      </c>
      <c r="J908" t="n">
        <v>0</v>
      </c>
      <c r="K908" t="n">
        <v>0</v>
      </c>
      <c r="L908" t="n">
        <v>0</v>
      </c>
      <c r="M908" t="n">
        <v>0</v>
      </c>
      <c r="N908" t="n">
        <v>0</v>
      </c>
      <c r="O908" t="n">
        <v>0</v>
      </c>
      <c r="P908" t="n">
        <v>0</v>
      </c>
      <c r="Q908" t="n">
        <v>0</v>
      </c>
      <c r="R908" s="2" t="inlineStr"/>
    </row>
    <row r="909" ht="15" customHeight="1">
      <c r="A909" t="inlineStr">
        <is>
          <t>A 18489-2019</t>
        </is>
      </c>
      <c r="B909" s="1" t="n">
        <v>43559</v>
      </c>
      <c r="C909" s="1" t="n">
        <v>45586</v>
      </c>
      <c r="D909" t="inlineStr">
        <is>
          <t>VÄSTRA GÖTALANDS LÄN</t>
        </is>
      </c>
      <c r="E909" t="inlineStr">
        <is>
          <t>HÄRRYDA</t>
        </is>
      </c>
      <c r="G909" t="n">
        <v>5.7</v>
      </c>
      <c r="H909" t="n">
        <v>0</v>
      </c>
      <c r="I909" t="n">
        <v>0</v>
      </c>
      <c r="J909" t="n">
        <v>0</v>
      </c>
      <c r="K909" t="n">
        <v>0</v>
      </c>
      <c r="L909" t="n">
        <v>0</v>
      </c>
      <c r="M909" t="n">
        <v>0</v>
      </c>
      <c r="N909" t="n">
        <v>0</v>
      </c>
      <c r="O909" t="n">
        <v>0</v>
      </c>
      <c r="P909" t="n">
        <v>0</v>
      </c>
      <c r="Q909" t="n">
        <v>0</v>
      </c>
      <c r="R909" s="2" t="inlineStr"/>
    </row>
    <row r="910" ht="15" customHeight="1">
      <c r="A910" t="inlineStr">
        <is>
          <t>A 18622-2019</t>
        </is>
      </c>
      <c r="B910" s="1" t="n">
        <v>43560</v>
      </c>
      <c r="C910" s="1" t="n">
        <v>45586</v>
      </c>
      <c r="D910" t="inlineStr">
        <is>
          <t>VÄSTRA GÖTALANDS LÄN</t>
        </is>
      </c>
      <c r="E910" t="inlineStr">
        <is>
          <t>SVENLJUNGA</t>
        </is>
      </c>
      <c r="G910" t="n">
        <v>5.1</v>
      </c>
      <c r="H910" t="n">
        <v>0</v>
      </c>
      <c r="I910" t="n">
        <v>0</v>
      </c>
      <c r="J910" t="n">
        <v>0</v>
      </c>
      <c r="K910" t="n">
        <v>0</v>
      </c>
      <c r="L910" t="n">
        <v>0</v>
      </c>
      <c r="M910" t="n">
        <v>0</v>
      </c>
      <c r="N910" t="n">
        <v>0</v>
      </c>
      <c r="O910" t="n">
        <v>0</v>
      </c>
      <c r="P910" t="n">
        <v>0</v>
      </c>
      <c r="Q910" t="n">
        <v>0</v>
      </c>
      <c r="R910" s="2" t="inlineStr"/>
    </row>
    <row r="911" ht="15" customHeight="1">
      <c r="A911" t="inlineStr">
        <is>
          <t>A 18681-2019</t>
        </is>
      </c>
      <c r="B911" s="1" t="n">
        <v>43560</v>
      </c>
      <c r="C911" s="1" t="n">
        <v>45586</v>
      </c>
      <c r="D911" t="inlineStr">
        <is>
          <t>VÄSTRA GÖTALANDS LÄN</t>
        </is>
      </c>
      <c r="E911" t="inlineStr">
        <is>
          <t>ESSUNGA</t>
        </is>
      </c>
      <c r="G911" t="n">
        <v>1.4</v>
      </c>
      <c r="H911" t="n">
        <v>0</v>
      </c>
      <c r="I911" t="n">
        <v>0</v>
      </c>
      <c r="J911" t="n">
        <v>0</v>
      </c>
      <c r="K911" t="n">
        <v>0</v>
      </c>
      <c r="L911" t="n">
        <v>0</v>
      </c>
      <c r="M911" t="n">
        <v>0</v>
      </c>
      <c r="N911" t="n">
        <v>0</v>
      </c>
      <c r="O911" t="n">
        <v>0</v>
      </c>
      <c r="P911" t="n">
        <v>0</v>
      </c>
      <c r="Q911" t="n">
        <v>0</v>
      </c>
      <c r="R911" s="2" t="inlineStr"/>
    </row>
    <row r="912" ht="15" customHeight="1">
      <c r="A912" t="inlineStr">
        <is>
          <t>A 18577-2019</t>
        </is>
      </c>
      <c r="B912" s="1" t="n">
        <v>43560</v>
      </c>
      <c r="C912" s="1" t="n">
        <v>45586</v>
      </c>
      <c r="D912" t="inlineStr">
        <is>
          <t>VÄSTRA GÖTALANDS LÄN</t>
        </is>
      </c>
      <c r="E912" t="inlineStr">
        <is>
          <t>FÄRGELANDA</t>
        </is>
      </c>
      <c r="G912" t="n">
        <v>4.8</v>
      </c>
      <c r="H912" t="n">
        <v>0</v>
      </c>
      <c r="I912" t="n">
        <v>0</v>
      </c>
      <c r="J912" t="n">
        <v>0</v>
      </c>
      <c r="K912" t="n">
        <v>0</v>
      </c>
      <c r="L912" t="n">
        <v>0</v>
      </c>
      <c r="M912" t="n">
        <v>0</v>
      </c>
      <c r="N912" t="n">
        <v>0</v>
      </c>
      <c r="O912" t="n">
        <v>0</v>
      </c>
      <c r="P912" t="n">
        <v>0</v>
      </c>
      <c r="Q912" t="n">
        <v>0</v>
      </c>
      <c r="R912" s="2" t="inlineStr"/>
    </row>
    <row r="913" ht="15" customHeight="1">
      <c r="A913" t="inlineStr">
        <is>
          <t>A 18678-2019</t>
        </is>
      </c>
      <c r="B913" s="1" t="n">
        <v>43560</v>
      </c>
      <c r="C913" s="1" t="n">
        <v>45586</v>
      </c>
      <c r="D913" t="inlineStr">
        <is>
          <t>VÄSTRA GÖTALANDS LÄN</t>
        </is>
      </c>
      <c r="E913" t="inlineStr">
        <is>
          <t>BENGTSFORS</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18665-2019</t>
        </is>
      </c>
      <c r="B914" s="1" t="n">
        <v>43560</v>
      </c>
      <c r="C914" s="1" t="n">
        <v>45586</v>
      </c>
      <c r="D914" t="inlineStr">
        <is>
          <t>VÄSTRA GÖTALANDS LÄN</t>
        </is>
      </c>
      <c r="E914" t="inlineStr">
        <is>
          <t>BORÅS</t>
        </is>
      </c>
      <c r="G914" t="n">
        <v>1.1</v>
      </c>
      <c r="H914" t="n">
        <v>0</v>
      </c>
      <c r="I914" t="n">
        <v>0</v>
      </c>
      <c r="J914" t="n">
        <v>0</v>
      </c>
      <c r="K914" t="n">
        <v>0</v>
      </c>
      <c r="L914" t="n">
        <v>0</v>
      </c>
      <c r="M914" t="n">
        <v>0</v>
      </c>
      <c r="N914" t="n">
        <v>0</v>
      </c>
      <c r="O914" t="n">
        <v>0</v>
      </c>
      <c r="P914" t="n">
        <v>0</v>
      </c>
      <c r="Q914" t="n">
        <v>0</v>
      </c>
      <c r="R914" s="2" t="inlineStr"/>
    </row>
    <row r="915" ht="15" customHeight="1">
      <c r="A915" t="inlineStr">
        <is>
          <t>A 18670-2019</t>
        </is>
      </c>
      <c r="B915" s="1" t="n">
        <v>43560</v>
      </c>
      <c r="C915" s="1" t="n">
        <v>45586</v>
      </c>
      <c r="D915" t="inlineStr">
        <is>
          <t>VÄSTRA GÖTALANDS LÄN</t>
        </is>
      </c>
      <c r="E915" t="inlineStr">
        <is>
          <t>BORÅS</t>
        </is>
      </c>
      <c r="G915" t="n">
        <v>0.5</v>
      </c>
      <c r="H915" t="n">
        <v>0</v>
      </c>
      <c r="I915" t="n">
        <v>0</v>
      </c>
      <c r="J915" t="n">
        <v>0</v>
      </c>
      <c r="K915" t="n">
        <v>0</v>
      </c>
      <c r="L915" t="n">
        <v>0</v>
      </c>
      <c r="M915" t="n">
        <v>0</v>
      </c>
      <c r="N915" t="n">
        <v>0</v>
      </c>
      <c r="O915" t="n">
        <v>0</v>
      </c>
      <c r="P915" t="n">
        <v>0</v>
      </c>
      <c r="Q915" t="n">
        <v>0</v>
      </c>
      <c r="R915" s="2" t="inlineStr"/>
    </row>
    <row r="916" ht="15" customHeight="1">
      <c r="A916" t="inlineStr">
        <is>
          <t>A 18783-2019</t>
        </is>
      </c>
      <c r="B916" s="1" t="n">
        <v>43562</v>
      </c>
      <c r="C916" s="1" t="n">
        <v>45586</v>
      </c>
      <c r="D916" t="inlineStr">
        <is>
          <t>VÄSTRA GÖTALANDS LÄN</t>
        </is>
      </c>
      <c r="E916" t="inlineStr">
        <is>
          <t>MUNKEDAL</t>
        </is>
      </c>
      <c r="G916" t="n">
        <v>2</v>
      </c>
      <c r="H916" t="n">
        <v>0</v>
      </c>
      <c r="I916" t="n">
        <v>0</v>
      </c>
      <c r="J916" t="n">
        <v>0</v>
      </c>
      <c r="K916" t="n">
        <v>0</v>
      </c>
      <c r="L916" t="n">
        <v>0</v>
      </c>
      <c r="M916" t="n">
        <v>0</v>
      </c>
      <c r="N916" t="n">
        <v>0</v>
      </c>
      <c r="O916" t="n">
        <v>0</v>
      </c>
      <c r="P916" t="n">
        <v>0</v>
      </c>
      <c r="Q916" t="n">
        <v>0</v>
      </c>
      <c r="R916" s="2" t="inlineStr"/>
    </row>
    <row r="917" ht="15" customHeight="1">
      <c r="A917" t="inlineStr">
        <is>
          <t>A 18787-2019</t>
        </is>
      </c>
      <c r="B917" s="1" t="n">
        <v>43562</v>
      </c>
      <c r="C917" s="1" t="n">
        <v>45586</v>
      </c>
      <c r="D917" t="inlineStr">
        <is>
          <t>VÄSTRA GÖTALANDS LÄN</t>
        </is>
      </c>
      <c r="E917" t="inlineStr">
        <is>
          <t>MUNKEDAL</t>
        </is>
      </c>
      <c r="G917" t="n">
        <v>2.1</v>
      </c>
      <c r="H917" t="n">
        <v>0</v>
      </c>
      <c r="I917" t="n">
        <v>0</v>
      </c>
      <c r="J917" t="n">
        <v>0</v>
      </c>
      <c r="K917" t="n">
        <v>0</v>
      </c>
      <c r="L917" t="n">
        <v>0</v>
      </c>
      <c r="M917" t="n">
        <v>0</v>
      </c>
      <c r="N917" t="n">
        <v>0</v>
      </c>
      <c r="O917" t="n">
        <v>0</v>
      </c>
      <c r="P917" t="n">
        <v>0</v>
      </c>
      <c r="Q917" t="n">
        <v>0</v>
      </c>
      <c r="R917" s="2" t="inlineStr"/>
    </row>
    <row r="918" ht="15" customHeight="1">
      <c r="A918" t="inlineStr">
        <is>
          <t>A 18884-2019</t>
        </is>
      </c>
      <c r="B918" s="1" t="n">
        <v>43563</v>
      </c>
      <c r="C918" s="1" t="n">
        <v>45586</v>
      </c>
      <c r="D918" t="inlineStr">
        <is>
          <t>VÄSTRA GÖTALANDS LÄN</t>
        </is>
      </c>
      <c r="E918" t="inlineStr">
        <is>
          <t>VARA</t>
        </is>
      </c>
      <c r="G918" t="n">
        <v>5.8</v>
      </c>
      <c r="H918" t="n">
        <v>0</v>
      </c>
      <c r="I918" t="n">
        <v>0</v>
      </c>
      <c r="J918" t="n">
        <v>0</v>
      </c>
      <c r="K918" t="n">
        <v>0</v>
      </c>
      <c r="L918" t="n">
        <v>0</v>
      </c>
      <c r="M918" t="n">
        <v>0</v>
      </c>
      <c r="N918" t="n">
        <v>0</v>
      </c>
      <c r="O918" t="n">
        <v>0</v>
      </c>
      <c r="P918" t="n">
        <v>0</v>
      </c>
      <c r="Q918" t="n">
        <v>0</v>
      </c>
      <c r="R918" s="2" t="inlineStr"/>
    </row>
    <row r="919" ht="15" customHeight="1">
      <c r="A919" t="inlineStr">
        <is>
          <t>A 19031-2019</t>
        </is>
      </c>
      <c r="B919" s="1" t="n">
        <v>43563</v>
      </c>
      <c r="C919" s="1" t="n">
        <v>45586</v>
      </c>
      <c r="D919" t="inlineStr">
        <is>
          <t>VÄSTRA GÖTALANDS LÄN</t>
        </is>
      </c>
      <c r="E919" t="inlineStr">
        <is>
          <t>ÅMÅL</t>
        </is>
      </c>
      <c r="G919" t="n">
        <v>1.5</v>
      </c>
      <c r="H919" t="n">
        <v>0</v>
      </c>
      <c r="I919" t="n">
        <v>0</v>
      </c>
      <c r="J919" t="n">
        <v>0</v>
      </c>
      <c r="K919" t="n">
        <v>0</v>
      </c>
      <c r="L919" t="n">
        <v>0</v>
      </c>
      <c r="M919" t="n">
        <v>0</v>
      </c>
      <c r="N919" t="n">
        <v>0</v>
      </c>
      <c r="O919" t="n">
        <v>0</v>
      </c>
      <c r="P919" t="n">
        <v>0</v>
      </c>
      <c r="Q919" t="n">
        <v>0</v>
      </c>
      <c r="R919" s="2" t="inlineStr"/>
    </row>
    <row r="920" ht="15" customHeight="1">
      <c r="A920" t="inlineStr">
        <is>
          <t>A 18886-2019</t>
        </is>
      </c>
      <c r="B920" s="1" t="n">
        <v>43563</v>
      </c>
      <c r="C920" s="1" t="n">
        <v>45586</v>
      </c>
      <c r="D920" t="inlineStr">
        <is>
          <t>VÄSTRA GÖTALANDS LÄN</t>
        </is>
      </c>
      <c r="E920" t="inlineStr">
        <is>
          <t>BOLLEBYGD</t>
        </is>
      </c>
      <c r="G920" t="n">
        <v>1.2</v>
      </c>
      <c r="H920" t="n">
        <v>0</v>
      </c>
      <c r="I920" t="n">
        <v>0</v>
      </c>
      <c r="J920" t="n">
        <v>0</v>
      </c>
      <c r="K920" t="n">
        <v>0</v>
      </c>
      <c r="L920" t="n">
        <v>0</v>
      </c>
      <c r="M920" t="n">
        <v>0</v>
      </c>
      <c r="N920" t="n">
        <v>0</v>
      </c>
      <c r="O920" t="n">
        <v>0</v>
      </c>
      <c r="P920" t="n">
        <v>0</v>
      </c>
      <c r="Q920" t="n">
        <v>0</v>
      </c>
      <c r="R920" s="2" t="inlineStr"/>
    </row>
    <row r="921" ht="15" customHeight="1">
      <c r="A921" t="inlineStr">
        <is>
          <t>A 18878-2019</t>
        </is>
      </c>
      <c r="B921" s="1" t="n">
        <v>43563</v>
      </c>
      <c r="C921" s="1" t="n">
        <v>45586</v>
      </c>
      <c r="D921" t="inlineStr">
        <is>
          <t>VÄSTRA GÖTALANDS LÄN</t>
        </is>
      </c>
      <c r="E921" t="inlineStr">
        <is>
          <t>TANUM</t>
        </is>
      </c>
      <c r="G921" t="n">
        <v>3.7</v>
      </c>
      <c r="H921" t="n">
        <v>0</v>
      </c>
      <c r="I921" t="n">
        <v>0</v>
      </c>
      <c r="J921" t="n">
        <v>0</v>
      </c>
      <c r="K921" t="n">
        <v>0</v>
      </c>
      <c r="L921" t="n">
        <v>0</v>
      </c>
      <c r="M921" t="n">
        <v>0</v>
      </c>
      <c r="N921" t="n">
        <v>0</v>
      </c>
      <c r="O921" t="n">
        <v>0</v>
      </c>
      <c r="P921" t="n">
        <v>0</v>
      </c>
      <c r="Q921" t="n">
        <v>0</v>
      </c>
      <c r="R921" s="2" t="inlineStr"/>
    </row>
    <row r="922" ht="15" customHeight="1">
      <c r="A922" t="inlineStr">
        <is>
          <t>A 19200-2019</t>
        </is>
      </c>
      <c r="B922" s="1" t="n">
        <v>43564</v>
      </c>
      <c r="C922" s="1" t="n">
        <v>45586</v>
      </c>
      <c r="D922" t="inlineStr">
        <is>
          <t>VÄSTRA GÖTALANDS LÄN</t>
        </is>
      </c>
      <c r="E922" t="inlineStr">
        <is>
          <t>HÄRRYDA</t>
        </is>
      </c>
      <c r="G922" t="n">
        <v>0.8</v>
      </c>
      <c r="H922" t="n">
        <v>0</v>
      </c>
      <c r="I922" t="n">
        <v>0</v>
      </c>
      <c r="J922" t="n">
        <v>0</v>
      </c>
      <c r="K922" t="n">
        <v>0</v>
      </c>
      <c r="L922" t="n">
        <v>0</v>
      </c>
      <c r="M922" t="n">
        <v>0</v>
      </c>
      <c r="N922" t="n">
        <v>0</v>
      </c>
      <c r="O922" t="n">
        <v>0</v>
      </c>
      <c r="P922" t="n">
        <v>0</v>
      </c>
      <c r="Q922" t="n">
        <v>0</v>
      </c>
      <c r="R922" s="2" t="inlineStr"/>
    </row>
    <row r="923" ht="15" customHeight="1">
      <c r="A923" t="inlineStr">
        <is>
          <t>A 19250-2019</t>
        </is>
      </c>
      <c r="B923" s="1" t="n">
        <v>43564</v>
      </c>
      <c r="C923" s="1" t="n">
        <v>45586</v>
      </c>
      <c r="D923" t="inlineStr">
        <is>
          <t>VÄSTRA GÖTALANDS LÄN</t>
        </is>
      </c>
      <c r="E923" t="inlineStr">
        <is>
          <t>GÖTENE</t>
        </is>
      </c>
      <c r="G923" t="n">
        <v>2.2</v>
      </c>
      <c r="H923" t="n">
        <v>0</v>
      </c>
      <c r="I923" t="n">
        <v>0</v>
      </c>
      <c r="J923" t="n">
        <v>0</v>
      </c>
      <c r="K923" t="n">
        <v>0</v>
      </c>
      <c r="L923" t="n">
        <v>0</v>
      </c>
      <c r="M923" t="n">
        <v>0</v>
      </c>
      <c r="N923" t="n">
        <v>0</v>
      </c>
      <c r="O923" t="n">
        <v>0</v>
      </c>
      <c r="P923" t="n">
        <v>0</v>
      </c>
      <c r="Q923" t="n">
        <v>0</v>
      </c>
      <c r="R923" s="2" t="inlineStr"/>
    </row>
    <row r="924" ht="15" customHeight="1">
      <c r="A924" t="inlineStr">
        <is>
          <t>A 19216-2019</t>
        </is>
      </c>
      <c r="B924" s="1" t="n">
        <v>43564</v>
      </c>
      <c r="C924" s="1" t="n">
        <v>45586</v>
      </c>
      <c r="D924" t="inlineStr">
        <is>
          <t>VÄSTRA GÖTALANDS LÄN</t>
        </is>
      </c>
      <c r="E924" t="inlineStr">
        <is>
          <t>VÅRGÅRDA</t>
        </is>
      </c>
      <c r="G924" t="n">
        <v>0.4</v>
      </c>
      <c r="H924" t="n">
        <v>0</v>
      </c>
      <c r="I924" t="n">
        <v>0</v>
      </c>
      <c r="J924" t="n">
        <v>0</v>
      </c>
      <c r="K924" t="n">
        <v>0</v>
      </c>
      <c r="L924" t="n">
        <v>0</v>
      </c>
      <c r="M924" t="n">
        <v>0</v>
      </c>
      <c r="N924" t="n">
        <v>0</v>
      </c>
      <c r="O924" t="n">
        <v>0</v>
      </c>
      <c r="P924" t="n">
        <v>0</v>
      </c>
      <c r="Q924" t="n">
        <v>0</v>
      </c>
      <c r="R924" s="2" t="inlineStr"/>
    </row>
    <row r="925" ht="15" customHeight="1">
      <c r="A925" t="inlineStr">
        <is>
          <t>A 19160-2019</t>
        </is>
      </c>
      <c r="B925" s="1" t="n">
        <v>43564</v>
      </c>
      <c r="C925" s="1" t="n">
        <v>45586</v>
      </c>
      <c r="D925" t="inlineStr">
        <is>
          <t>VÄSTRA GÖTALANDS LÄN</t>
        </is>
      </c>
      <c r="E925" t="inlineStr">
        <is>
          <t>LILLA EDET</t>
        </is>
      </c>
      <c r="G925" t="n">
        <v>5.5</v>
      </c>
      <c r="H925" t="n">
        <v>0</v>
      </c>
      <c r="I925" t="n">
        <v>0</v>
      </c>
      <c r="J925" t="n">
        <v>0</v>
      </c>
      <c r="K925" t="n">
        <v>0</v>
      </c>
      <c r="L925" t="n">
        <v>0</v>
      </c>
      <c r="M925" t="n">
        <v>0</v>
      </c>
      <c r="N925" t="n">
        <v>0</v>
      </c>
      <c r="O925" t="n">
        <v>0</v>
      </c>
      <c r="P925" t="n">
        <v>0</v>
      </c>
      <c r="Q925" t="n">
        <v>0</v>
      </c>
      <c r="R925" s="2" t="inlineStr"/>
    </row>
    <row r="926" ht="15" customHeight="1">
      <c r="A926" t="inlineStr">
        <is>
          <t>A 19186-2019</t>
        </is>
      </c>
      <c r="B926" s="1" t="n">
        <v>43564</v>
      </c>
      <c r="C926" s="1" t="n">
        <v>45586</v>
      </c>
      <c r="D926" t="inlineStr">
        <is>
          <t>VÄSTRA GÖTALANDS LÄN</t>
        </is>
      </c>
      <c r="E926" t="inlineStr">
        <is>
          <t>LILLA EDET</t>
        </is>
      </c>
      <c r="G926" t="n">
        <v>3.5</v>
      </c>
      <c r="H926" t="n">
        <v>0</v>
      </c>
      <c r="I926" t="n">
        <v>0</v>
      </c>
      <c r="J926" t="n">
        <v>0</v>
      </c>
      <c r="K926" t="n">
        <v>0</v>
      </c>
      <c r="L926" t="n">
        <v>0</v>
      </c>
      <c r="M926" t="n">
        <v>0</v>
      </c>
      <c r="N926" t="n">
        <v>0</v>
      </c>
      <c r="O926" t="n">
        <v>0</v>
      </c>
      <c r="P926" t="n">
        <v>0</v>
      </c>
      <c r="Q926" t="n">
        <v>0</v>
      </c>
      <c r="R926" s="2" t="inlineStr"/>
    </row>
    <row r="927" ht="15" customHeight="1">
      <c r="A927" t="inlineStr">
        <is>
          <t>A 19169-2019</t>
        </is>
      </c>
      <c r="B927" s="1" t="n">
        <v>43564</v>
      </c>
      <c r="C927" s="1" t="n">
        <v>45586</v>
      </c>
      <c r="D927" t="inlineStr">
        <is>
          <t>VÄSTRA GÖTALANDS LÄN</t>
        </is>
      </c>
      <c r="E927" t="inlineStr">
        <is>
          <t>TRANEMO</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19430-2019</t>
        </is>
      </c>
      <c r="B928" s="1" t="n">
        <v>43565</v>
      </c>
      <c r="C928" s="1" t="n">
        <v>45586</v>
      </c>
      <c r="D928" t="inlineStr">
        <is>
          <t>VÄSTRA GÖTALANDS LÄN</t>
        </is>
      </c>
      <c r="E928" t="inlineStr">
        <is>
          <t>BENGTSFORS</t>
        </is>
      </c>
      <c r="G928" t="n">
        <v>2</v>
      </c>
      <c r="H928" t="n">
        <v>0</v>
      </c>
      <c r="I928" t="n">
        <v>0</v>
      </c>
      <c r="J928" t="n">
        <v>0</v>
      </c>
      <c r="K928" t="n">
        <v>0</v>
      </c>
      <c r="L928" t="n">
        <v>0</v>
      </c>
      <c r="M928" t="n">
        <v>0</v>
      </c>
      <c r="N928" t="n">
        <v>0</v>
      </c>
      <c r="O928" t="n">
        <v>0</v>
      </c>
      <c r="P928" t="n">
        <v>0</v>
      </c>
      <c r="Q928" t="n">
        <v>0</v>
      </c>
      <c r="R928" s="2" t="inlineStr"/>
    </row>
    <row r="929" ht="15" customHeight="1">
      <c r="A929" t="inlineStr">
        <is>
          <t>A 19453-2019</t>
        </is>
      </c>
      <c r="B929" s="1" t="n">
        <v>43565</v>
      </c>
      <c r="C929" s="1" t="n">
        <v>45586</v>
      </c>
      <c r="D929" t="inlineStr">
        <is>
          <t>VÄSTRA GÖTALANDS LÄN</t>
        </is>
      </c>
      <c r="E929" t="inlineStr">
        <is>
          <t>FÄRGELANDA</t>
        </is>
      </c>
      <c r="G929" t="n">
        <v>3.3</v>
      </c>
      <c r="H929" t="n">
        <v>0</v>
      </c>
      <c r="I929" t="n">
        <v>0</v>
      </c>
      <c r="J929" t="n">
        <v>0</v>
      </c>
      <c r="K929" t="n">
        <v>0</v>
      </c>
      <c r="L929" t="n">
        <v>0</v>
      </c>
      <c r="M929" t="n">
        <v>0</v>
      </c>
      <c r="N929" t="n">
        <v>0</v>
      </c>
      <c r="O929" t="n">
        <v>0</v>
      </c>
      <c r="P929" t="n">
        <v>0</v>
      </c>
      <c r="Q929" t="n">
        <v>0</v>
      </c>
      <c r="R929" s="2" t="inlineStr"/>
    </row>
    <row r="930" ht="15" customHeight="1">
      <c r="A930" t="inlineStr">
        <is>
          <t>A 19345-2019</t>
        </is>
      </c>
      <c r="B930" s="1" t="n">
        <v>43565</v>
      </c>
      <c r="C930" s="1" t="n">
        <v>45586</v>
      </c>
      <c r="D930" t="inlineStr">
        <is>
          <t>VÄSTRA GÖTALANDS LÄN</t>
        </is>
      </c>
      <c r="E930" t="inlineStr">
        <is>
          <t>SVENLJUNGA</t>
        </is>
      </c>
      <c r="G930" t="n">
        <v>2.1</v>
      </c>
      <c r="H930" t="n">
        <v>0</v>
      </c>
      <c r="I930" t="n">
        <v>0</v>
      </c>
      <c r="J930" t="n">
        <v>0</v>
      </c>
      <c r="K930" t="n">
        <v>0</v>
      </c>
      <c r="L930" t="n">
        <v>0</v>
      </c>
      <c r="M930" t="n">
        <v>0</v>
      </c>
      <c r="N930" t="n">
        <v>0</v>
      </c>
      <c r="O930" t="n">
        <v>0</v>
      </c>
      <c r="P930" t="n">
        <v>0</v>
      </c>
      <c r="Q930" t="n">
        <v>0</v>
      </c>
      <c r="R930" s="2" t="inlineStr"/>
    </row>
    <row r="931" ht="15" customHeight="1">
      <c r="A931" t="inlineStr">
        <is>
          <t>A 19458-2019</t>
        </is>
      </c>
      <c r="B931" s="1" t="n">
        <v>43565</v>
      </c>
      <c r="C931" s="1" t="n">
        <v>45586</v>
      </c>
      <c r="D931" t="inlineStr">
        <is>
          <t>VÄSTRA GÖTALANDS LÄN</t>
        </is>
      </c>
      <c r="E931" t="inlineStr">
        <is>
          <t>FÄRGELANDA</t>
        </is>
      </c>
      <c r="G931" t="n">
        <v>2.4</v>
      </c>
      <c r="H931" t="n">
        <v>0</v>
      </c>
      <c r="I931" t="n">
        <v>0</v>
      </c>
      <c r="J931" t="n">
        <v>0</v>
      </c>
      <c r="K931" t="n">
        <v>0</v>
      </c>
      <c r="L931" t="n">
        <v>0</v>
      </c>
      <c r="M931" t="n">
        <v>0</v>
      </c>
      <c r="N931" t="n">
        <v>0</v>
      </c>
      <c r="O931" t="n">
        <v>0</v>
      </c>
      <c r="P931" t="n">
        <v>0</v>
      </c>
      <c r="Q931" t="n">
        <v>0</v>
      </c>
      <c r="R931" s="2" t="inlineStr"/>
    </row>
    <row r="932" ht="15" customHeight="1">
      <c r="A932" t="inlineStr">
        <is>
          <t>A 19462-2019</t>
        </is>
      </c>
      <c r="B932" s="1" t="n">
        <v>43565</v>
      </c>
      <c r="C932" s="1" t="n">
        <v>45586</v>
      </c>
      <c r="D932" t="inlineStr">
        <is>
          <t>VÄSTRA GÖTALANDS LÄN</t>
        </is>
      </c>
      <c r="E932" t="inlineStr">
        <is>
          <t>FÄRGELANDA</t>
        </is>
      </c>
      <c r="G932" t="n">
        <v>0.5</v>
      </c>
      <c r="H932" t="n">
        <v>0</v>
      </c>
      <c r="I932" t="n">
        <v>0</v>
      </c>
      <c r="J932" t="n">
        <v>0</v>
      </c>
      <c r="K932" t="n">
        <v>0</v>
      </c>
      <c r="L932" t="n">
        <v>0</v>
      </c>
      <c r="M932" t="n">
        <v>0</v>
      </c>
      <c r="N932" t="n">
        <v>0</v>
      </c>
      <c r="O932" t="n">
        <v>0</v>
      </c>
      <c r="P932" t="n">
        <v>0</v>
      </c>
      <c r="Q932" t="n">
        <v>0</v>
      </c>
      <c r="R932" s="2" t="inlineStr"/>
    </row>
    <row r="933" ht="15" customHeight="1">
      <c r="A933" t="inlineStr">
        <is>
          <t>A 19612-2019</t>
        </is>
      </c>
      <c r="B933" s="1" t="n">
        <v>43565</v>
      </c>
      <c r="C933" s="1" t="n">
        <v>45586</v>
      </c>
      <c r="D933" t="inlineStr">
        <is>
          <t>VÄSTRA GÖTALANDS LÄN</t>
        </is>
      </c>
      <c r="E933" t="inlineStr">
        <is>
          <t>STRÖMSTAD</t>
        </is>
      </c>
      <c r="G933" t="n">
        <v>4.3</v>
      </c>
      <c r="H933" t="n">
        <v>0</v>
      </c>
      <c r="I933" t="n">
        <v>0</v>
      </c>
      <c r="J933" t="n">
        <v>0</v>
      </c>
      <c r="K933" t="n">
        <v>0</v>
      </c>
      <c r="L933" t="n">
        <v>0</v>
      </c>
      <c r="M933" t="n">
        <v>0</v>
      </c>
      <c r="N933" t="n">
        <v>0</v>
      </c>
      <c r="O933" t="n">
        <v>0</v>
      </c>
      <c r="P933" t="n">
        <v>0</v>
      </c>
      <c r="Q933" t="n">
        <v>0</v>
      </c>
      <c r="R933" s="2" t="inlineStr"/>
    </row>
    <row r="934" ht="15" customHeight="1">
      <c r="A934" t="inlineStr">
        <is>
          <t>A 19460-2019</t>
        </is>
      </c>
      <c r="B934" s="1" t="n">
        <v>43565</v>
      </c>
      <c r="C934" s="1" t="n">
        <v>45586</v>
      </c>
      <c r="D934" t="inlineStr">
        <is>
          <t>VÄSTRA GÖTALANDS LÄN</t>
        </is>
      </c>
      <c r="E934" t="inlineStr">
        <is>
          <t>ALINGSÅS</t>
        </is>
      </c>
      <c r="G934" t="n">
        <v>1</v>
      </c>
      <c r="H934" t="n">
        <v>0</v>
      </c>
      <c r="I934" t="n">
        <v>0</v>
      </c>
      <c r="J934" t="n">
        <v>0</v>
      </c>
      <c r="K934" t="n">
        <v>0</v>
      </c>
      <c r="L934" t="n">
        <v>0</v>
      </c>
      <c r="M934" t="n">
        <v>0</v>
      </c>
      <c r="N934" t="n">
        <v>0</v>
      </c>
      <c r="O934" t="n">
        <v>0</v>
      </c>
      <c r="P934" t="n">
        <v>0</v>
      </c>
      <c r="Q934" t="n">
        <v>0</v>
      </c>
      <c r="R934" s="2" t="inlineStr"/>
    </row>
    <row r="935" ht="15" customHeight="1">
      <c r="A935" t="inlineStr">
        <is>
          <t>A 19389-2019</t>
        </is>
      </c>
      <c r="B935" s="1" t="n">
        <v>43565</v>
      </c>
      <c r="C935" s="1" t="n">
        <v>45586</v>
      </c>
      <c r="D935" t="inlineStr">
        <is>
          <t>VÄSTRA GÖTALANDS LÄN</t>
        </is>
      </c>
      <c r="E935" t="inlineStr">
        <is>
          <t>MARK</t>
        </is>
      </c>
      <c r="G935" t="n">
        <v>2.9</v>
      </c>
      <c r="H935" t="n">
        <v>0</v>
      </c>
      <c r="I935" t="n">
        <v>0</v>
      </c>
      <c r="J935" t="n">
        <v>0</v>
      </c>
      <c r="K935" t="n">
        <v>0</v>
      </c>
      <c r="L935" t="n">
        <v>0</v>
      </c>
      <c r="M935" t="n">
        <v>0</v>
      </c>
      <c r="N935" t="n">
        <v>0</v>
      </c>
      <c r="O935" t="n">
        <v>0</v>
      </c>
      <c r="P935" t="n">
        <v>0</v>
      </c>
      <c r="Q935" t="n">
        <v>0</v>
      </c>
      <c r="R935" s="2" t="inlineStr"/>
    </row>
    <row r="936" ht="15" customHeight="1">
      <c r="A936" t="inlineStr">
        <is>
          <t>A 19346-2019</t>
        </is>
      </c>
      <c r="B936" s="1" t="n">
        <v>43565</v>
      </c>
      <c r="C936" s="1" t="n">
        <v>45586</v>
      </c>
      <c r="D936" t="inlineStr">
        <is>
          <t>VÄSTRA GÖTALANDS LÄN</t>
        </is>
      </c>
      <c r="E936" t="inlineStr">
        <is>
          <t>SVENLJUNGA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19394-2019</t>
        </is>
      </c>
      <c r="B937" s="1" t="n">
        <v>43565</v>
      </c>
      <c r="C937" s="1" t="n">
        <v>45586</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19366-2019</t>
        </is>
      </c>
      <c r="B938" s="1" t="n">
        <v>43565</v>
      </c>
      <c r="C938" s="1" t="n">
        <v>45586</v>
      </c>
      <c r="D938" t="inlineStr">
        <is>
          <t>VÄSTRA GÖTALANDS LÄN</t>
        </is>
      </c>
      <c r="E938" t="inlineStr">
        <is>
          <t>SVENLJUNGA</t>
        </is>
      </c>
      <c r="G938" t="n">
        <v>0.4</v>
      </c>
      <c r="H938" t="n">
        <v>0</v>
      </c>
      <c r="I938" t="n">
        <v>0</v>
      </c>
      <c r="J938" t="n">
        <v>0</v>
      </c>
      <c r="K938" t="n">
        <v>0</v>
      </c>
      <c r="L938" t="n">
        <v>0</v>
      </c>
      <c r="M938" t="n">
        <v>0</v>
      </c>
      <c r="N938" t="n">
        <v>0</v>
      </c>
      <c r="O938" t="n">
        <v>0</v>
      </c>
      <c r="P938" t="n">
        <v>0</v>
      </c>
      <c r="Q938" t="n">
        <v>0</v>
      </c>
      <c r="R938" s="2" t="inlineStr"/>
    </row>
    <row r="939" ht="15" customHeight="1">
      <c r="A939" t="inlineStr">
        <is>
          <t>A 19568-2019</t>
        </is>
      </c>
      <c r="B939" s="1" t="n">
        <v>43566</v>
      </c>
      <c r="C939" s="1" t="n">
        <v>45586</v>
      </c>
      <c r="D939" t="inlineStr">
        <is>
          <t>VÄSTRA GÖTALANDS LÄN</t>
        </is>
      </c>
      <c r="E939" t="inlineStr">
        <is>
          <t>MARK</t>
        </is>
      </c>
      <c r="G939" t="n">
        <v>2.2</v>
      </c>
      <c r="H939" t="n">
        <v>0</v>
      </c>
      <c r="I939" t="n">
        <v>0</v>
      </c>
      <c r="J939" t="n">
        <v>0</v>
      </c>
      <c r="K939" t="n">
        <v>0</v>
      </c>
      <c r="L939" t="n">
        <v>0</v>
      </c>
      <c r="M939" t="n">
        <v>0</v>
      </c>
      <c r="N939" t="n">
        <v>0</v>
      </c>
      <c r="O939" t="n">
        <v>0</v>
      </c>
      <c r="P939" t="n">
        <v>0</v>
      </c>
      <c r="Q939" t="n">
        <v>0</v>
      </c>
      <c r="R939" s="2" t="inlineStr"/>
    </row>
    <row r="940" ht="15" customHeight="1">
      <c r="A940" t="inlineStr">
        <is>
          <t>A 19688-2019</t>
        </is>
      </c>
      <c r="B940" s="1" t="n">
        <v>43566</v>
      </c>
      <c r="C940" s="1" t="n">
        <v>45586</v>
      </c>
      <c r="D940" t="inlineStr">
        <is>
          <t>VÄSTRA GÖTALANDS LÄN</t>
        </is>
      </c>
      <c r="E940" t="inlineStr">
        <is>
          <t>HÄRRYDA</t>
        </is>
      </c>
      <c r="G940" t="n">
        <v>0.9</v>
      </c>
      <c r="H940" t="n">
        <v>0</v>
      </c>
      <c r="I940" t="n">
        <v>0</v>
      </c>
      <c r="J940" t="n">
        <v>0</v>
      </c>
      <c r="K940" t="n">
        <v>0</v>
      </c>
      <c r="L940" t="n">
        <v>0</v>
      </c>
      <c r="M940" t="n">
        <v>0</v>
      </c>
      <c r="N940" t="n">
        <v>0</v>
      </c>
      <c r="O940" t="n">
        <v>0</v>
      </c>
      <c r="P940" t="n">
        <v>0</v>
      </c>
      <c r="Q940" t="n">
        <v>0</v>
      </c>
      <c r="R940" s="2" t="inlineStr"/>
    </row>
    <row r="941" ht="15" customHeight="1">
      <c r="A941" t="inlineStr">
        <is>
          <t>A 19720-2019</t>
        </is>
      </c>
      <c r="B941" s="1" t="n">
        <v>43566</v>
      </c>
      <c r="C941" s="1" t="n">
        <v>45586</v>
      </c>
      <c r="D941" t="inlineStr">
        <is>
          <t>VÄSTRA GÖTALANDS LÄN</t>
        </is>
      </c>
      <c r="E941" t="inlineStr">
        <is>
          <t>TROLLHÄTTAN</t>
        </is>
      </c>
      <c r="G941" t="n">
        <v>6.4</v>
      </c>
      <c r="H941" t="n">
        <v>0</v>
      </c>
      <c r="I941" t="n">
        <v>0</v>
      </c>
      <c r="J941" t="n">
        <v>0</v>
      </c>
      <c r="K941" t="n">
        <v>0</v>
      </c>
      <c r="L941" t="n">
        <v>0</v>
      </c>
      <c r="M941" t="n">
        <v>0</v>
      </c>
      <c r="N941" t="n">
        <v>0</v>
      </c>
      <c r="O941" t="n">
        <v>0</v>
      </c>
      <c r="P941" t="n">
        <v>0</v>
      </c>
      <c r="Q941" t="n">
        <v>0</v>
      </c>
      <c r="R941" s="2" t="inlineStr"/>
    </row>
    <row r="942" ht="15" customHeight="1">
      <c r="A942" t="inlineStr">
        <is>
          <t>A 19666-2019</t>
        </is>
      </c>
      <c r="B942" s="1" t="n">
        <v>43566</v>
      </c>
      <c r="C942" s="1" t="n">
        <v>45586</v>
      </c>
      <c r="D942" t="inlineStr">
        <is>
          <t>VÄSTRA GÖTALANDS LÄN</t>
        </is>
      </c>
      <c r="E942" t="inlineStr">
        <is>
          <t>FÄRGELANDA</t>
        </is>
      </c>
      <c r="G942" t="n">
        <v>1.6</v>
      </c>
      <c r="H942" t="n">
        <v>0</v>
      </c>
      <c r="I942" t="n">
        <v>0</v>
      </c>
      <c r="J942" t="n">
        <v>0</v>
      </c>
      <c r="K942" t="n">
        <v>0</v>
      </c>
      <c r="L942" t="n">
        <v>0</v>
      </c>
      <c r="M942" t="n">
        <v>0</v>
      </c>
      <c r="N942" t="n">
        <v>0</v>
      </c>
      <c r="O942" t="n">
        <v>0</v>
      </c>
      <c r="P942" t="n">
        <v>0</v>
      </c>
      <c r="Q942" t="n">
        <v>0</v>
      </c>
      <c r="R942" s="2" t="inlineStr"/>
    </row>
    <row r="943" ht="15" customHeight="1">
      <c r="A943" t="inlineStr">
        <is>
          <t>A 19702-2019</t>
        </is>
      </c>
      <c r="B943" s="1" t="n">
        <v>43566</v>
      </c>
      <c r="C943" s="1" t="n">
        <v>45586</v>
      </c>
      <c r="D943" t="inlineStr">
        <is>
          <t>VÄSTRA GÖTALANDS LÄN</t>
        </is>
      </c>
      <c r="E943" t="inlineStr">
        <is>
          <t>LIDKÖPING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19793-2019</t>
        </is>
      </c>
      <c r="B944" s="1" t="n">
        <v>43566</v>
      </c>
      <c r="C944" s="1" t="n">
        <v>45586</v>
      </c>
      <c r="D944" t="inlineStr">
        <is>
          <t>VÄSTRA GÖTALANDS LÄN</t>
        </is>
      </c>
      <c r="E944" t="inlineStr">
        <is>
          <t>VARA</t>
        </is>
      </c>
      <c r="G944" t="n">
        <v>6.9</v>
      </c>
      <c r="H944" t="n">
        <v>0</v>
      </c>
      <c r="I944" t="n">
        <v>0</v>
      </c>
      <c r="J944" t="n">
        <v>0</v>
      </c>
      <c r="K944" t="n">
        <v>0</v>
      </c>
      <c r="L944" t="n">
        <v>0</v>
      </c>
      <c r="M944" t="n">
        <v>0</v>
      </c>
      <c r="N944" t="n">
        <v>0</v>
      </c>
      <c r="O944" t="n">
        <v>0</v>
      </c>
      <c r="P944" t="n">
        <v>0</v>
      </c>
      <c r="Q944" t="n">
        <v>0</v>
      </c>
      <c r="R944" s="2" t="inlineStr"/>
    </row>
    <row r="945" ht="15" customHeight="1">
      <c r="A945" t="inlineStr">
        <is>
          <t>A 19644-2019</t>
        </is>
      </c>
      <c r="B945" s="1" t="n">
        <v>43566</v>
      </c>
      <c r="C945" s="1" t="n">
        <v>45586</v>
      </c>
      <c r="D945" t="inlineStr">
        <is>
          <t>VÄSTRA GÖTALANDS LÄN</t>
        </is>
      </c>
      <c r="E945" t="inlineStr">
        <is>
          <t>DALS-ED</t>
        </is>
      </c>
      <c r="G945" t="n">
        <v>1.8</v>
      </c>
      <c r="H945" t="n">
        <v>0</v>
      </c>
      <c r="I945" t="n">
        <v>0</v>
      </c>
      <c r="J945" t="n">
        <v>0</v>
      </c>
      <c r="K945" t="n">
        <v>0</v>
      </c>
      <c r="L945" t="n">
        <v>0</v>
      </c>
      <c r="M945" t="n">
        <v>0</v>
      </c>
      <c r="N945" t="n">
        <v>0</v>
      </c>
      <c r="O945" t="n">
        <v>0</v>
      </c>
      <c r="P945" t="n">
        <v>0</v>
      </c>
      <c r="Q945" t="n">
        <v>0</v>
      </c>
      <c r="R945" s="2" t="inlineStr"/>
    </row>
    <row r="946" ht="15" customHeight="1">
      <c r="A946" t="inlineStr">
        <is>
          <t>A 19706-2019</t>
        </is>
      </c>
      <c r="B946" s="1" t="n">
        <v>43566</v>
      </c>
      <c r="C946" s="1" t="n">
        <v>45586</v>
      </c>
      <c r="D946" t="inlineStr">
        <is>
          <t>VÄSTRA GÖTALANDS LÄN</t>
        </is>
      </c>
      <c r="E946" t="inlineStr">
        <is>
          <t>LIDKÖPING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19719-2019</t>
        </is>
      </c>
      <c r="B947" s="1" t="n">
        <v>43566</v>
      </c>
      <c r="C947" s="1" t="n">
        <v>45586</v>
      </c>
      <c r="D947" t="inlineStr">
        <is>
          <t>VÄSTRA GÖTALANDS LÄN</t>
        </is>
      </c>
      <c r="E947" t="inlineStr">
        <is>
          <t>TROLLHÄTTAN</t>
        </is>
      </c>
      <c r="G947" t="n">
        <v>0.2</v>
      </c>
      <c r="H947" t="n">
        <v>0</v>
      </c>
      <c r="I947" t="n">
        <v>0</v>
      </c>
      <c r="J947" t="n">
        <v>0</v>
      </c>
      <c r="K947" t="n">
        <v>0</v>
      </c>
      <c r="L947" t="n">
        <v>0</v>
      </c>
      <c r="M947" t="n">
        <v>0</v>
      </c>
      <c r="N947" t="n">
        <v>0</v>
      </c>
      <c r="O947" t="n">
        <v>0</v>
      </c>
      <c r="P947" t="n">
        <v>0</v>
      </c>
      <c r="Q947" t="n">
        <v>0</v>
      </c>
      <c r="R947" s="2" t="inlineStr"/>
    </row>
    <row r="948" ht="15" customHeight="1">
      <c r="A948" t="inlineStr">
        <is>
          <t>A 19639-2019</t>
        </is>
      </c>
      <c r="B948" s="1" t="n">
        <v>43566</v>
      </c>
      <c r="C948" s="1" t="n">
        <v>45586</v>
      </c>
      <c r="D948" t="inlineStr">
        <is>
          <t>VÄSTRA GÖTALANDS LÄN</t>
        </is>
      </c>
      <c r="E948" t="inlineStr">
        <is>
          <t>DALS-ED</t>
        </is>
      </c>
      <c r="G948" t="n">
        <v>1.5</v>
      </c>
      <c r="H948" t="n">
        <v>0</v>
      </c>
      <c r="I948" t="n">
        <v>0</v>
      </c>
      <c r="J948" t="n">
        <v>0</v>
      </c>
      <c r="K948" t="n">
        <v>0</v>
      </c>
      <c r="L948" t="n">
        <v>0</v>
      </c>
      <c r="M948" t="n">
        <v>0</v>
      </c>
      <c r="N948" t="n">
        <v>0</v>
      </c>
      <c r="O948" t="n">
        <v>0</v>
      </c>
      <c r="P948" t="n">
        <v>0</v>
      </c>
      <c r="Q948" t="n">
        <v>0</v>
      </c>
      <c r="R948" s="2" t="inlineStr"/>
    </row>
    <row r="949" ht="15" customHeight="1">
      <c r="A949" t="inlineStr">
        <is>
          <t>A 19578-2019</t>
        </is>
      </c>
      <c r="B949" s="1" t="n">
        <v>43566</v>
      </c>
      <c r="C949" s="1" t="n">
        <v>45586</v>
      </c>
      <c r="D949" t="inlineStr">
        <is>
          <t>VÄSTRA GÖTALANDS LÄN</t>
        </is>
      </c>
      <c r="E949" t="inlineStr">
        <is>
          <t>VARA</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19741-2019</t>
        </is>
      </c>
      <c r="B950" s="1" t="n">
        <v>43567</v>
      </c>
      <c r="C950" s="1" t="n">
        <v>45586</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19759-2019</t>
        </is>
      </c>
      <c r="B951" s="1" t="n">
        <v>43567</v>
      </c>
      <c r="C951" s="1" t="n">
        <v>45586</v>
      </c>
      <c r="D951" t="inlineStr">
        <is>
          <t>VÄSTRA GÖTALANDS LÄN</t>
        </is>
      </c>
      <c r="E951" t="inlineStr">
        <is>
          <t>BENGTSFORS</t>
        </is>
      </c>
      <c r="G951" t="n">
        <v>6.4</v>
      </c>
      <c r="H951" t="n">
        <v>0</v>
      </c>
      <c r="I951" t="n">
        <v>0</v>
      </c>
      <c r="J951" t="n">
        <v>0</v>
      </c>
      <c r="K951" t="n">
        <v>0</v>
      </c>
      <c r="L951" t="n">
        <v>0</v>
      </c>
      <c r="M951" t="n">
        <v>0</v>
      </c>
      <c r="N951" t="n">
        <v>0</v>
      </c>
      <c r="O951" t="n">
        <v>0</v>
      </c>
      <c r="P951" t="n">
        <v>0</v>
      </c>
      <c r="Q951" t="n">
        <v>0</v>
      </c>
      <c r="R951" s="2" t="inlineStr"/>
    </row>
    <row r="952" ht="15" customHeight="1">
      <c r="A952" t="inlineStr">
        <is>
          <t>A 19842-2019</t>
        </is>
      </c>
      <c r="B952" s="1" t="n">
        <v>43567</v>
      </c>
      <c r="C952" s="1" t="n">
        <v>45586</v>
      </c>
      <c r="D952" t="inlineStr">
        <is>
          <t>VÄSTRA GÖTALANDS LÄN</t>
        </is>
      </c>
      <c r="E952" t="inlineStr">
        <is>
          <t>LERUM</t>
        </is>
      </c>
      <c r="G952" t="n">
        <v>1.9</v>
      </c>
      <c r="H952" t="n">
        <v>0</v>
      </c>
      <c r="I952" t="n">
        <v>0</v>
      </c>
      <c r="J952" t="n">
        <v>0</v>
      </c>
      <c r="K952" t="n">
        <v>0</v>
      </c>
      <c r="L952" t="n">
        <v>0</v>
      </c>
      <c r="M952" t="n">
        <v>0</v>
      </c>
      <c r="N952" t="n">
        <v>0</v>
      </c>
      <c r="O952" t="n">
        <v>0</v>
      </c>
      <c r="P952" t="n">
        <v>0</v>
      </c>
      <c r="Q952" t="n">
        <v>0</v>
      </c>
      <c r="R952" s="2" t="inlineStr"/>
    </row>
    <row r="953" ht="15" customHeight="1">
      <c r="A953" t="inlineStr">
        <is>
          <t>A 19797-2019</t>
        </is>
      </c>
      <c r="B953" s="1" t="n">
        <v>43567</v>
      </c>
      <c r="C953" s="1" t="n">
        <v>45586</v>
      </c>
      <c r="D953" t="inlineStr">
        <is>
          <t>VÄSTRA GÖTALANDS LÄN</t>
        </is>
      </c>
      <c r="E953" t="inlineStr">
        <is>
          <t>LIDKÖPING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19773-2019</t>
        </is>
      </c>
      <c r="B954" s="1" t="n">
        <v>43567</v>
      </c>
      <c r="C954" s="1" t="n">
        <v>45586</v>
      </c>
      <c r="D954" t="inlineStr">
        <is>
          <t>VÄSTRA GÖTALANDS LÄN</t>
        </is>
      </c>
      <c r="E954" t="inlineStr">
        <is>
          <t>LIDKÖPING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19865-2019</t>
        </is>
      </c>
      <c r="B955" s="1" t="n">
        <v>43567</v>
      </c>
      <c r="C955" s="1" t="n">
        <v>45586</v>
      </c>
      <c r="D955" t="inlineStr">
        <is>
          <t>VÄSTRA GÖTALANDS LÄN</t>
        </is>
      </c>
      <c r="E955" t="inlineStr">
        <is>
          <t>BENGTSFORS</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19826-2019</t>
        </is>
      </c>
      <c r="B956" s="1" t="n">
        <v>43567</v>
      </c>
      <c r="C956" s="1" t="n">
        <v>45586</v>
      </c>
      <c r="D956" t="inlineStr">
        <is>
          <t>VÄSTRA GÖTALANDS LÄN</t>
        </is>
      </c>
      <c r="E956" t="inlineStr">
        <is>
          <t>HÄRRYDA</t>
        </is>
      </c>
      <c r="G956" t="n">
        <v>0.4</v>
      </c>
      <c r="H956" t="n">
        <v>0</v>
      </c>
      <c r="I956" t="n">
        <v>0</v>
      </c>
      <c r="J956" t="n">
        <v>0</v>
      </c>
      <c r="K956" t="n">
        <v>0</v>
      </c>
      <c r="L956" t="n">
        <v>0</v>
      </c>
      <c r="M956" t="n">
        <v>0</v>
      </c>
      <c r="N956" t="n">
        <v>0</v>
      </c>
      <c r="O956" t="n">
        <v>0</v>
      </c>
      <c r="P956" t="n">
        <v>0</v>
      </c>
      <c r="Q956" t="n">
        <v>0</v>
      </c>
      <c r="R956" s="2" t="inlineStr"/>
    </row>
    <row r="957" ht="15" customHeight="1">
      <c r="A957" t="inlineStr">
        <is>
          <t>A 19796-2019</t>
        </is>
      </c>
      <c r="B957" s="1" t="n">
        <v>43567</v>
      </c>
      <c r="C957" s="1" t="n">
        <v>45586</v>
      </c>
      <c r="D957" t="inlineStr">
        <is>
          <t>VÄSTRA GÖTALANDS LÄN</t>
        </is>
      </c>
      <c r="E957" t="inlineStr">
        <is>
          <t>ORUST</t>
        </is>
      </c>
      <c r="G957" t="n">
        <v>1.4</v>
      </c>
      <c r="H957" t="n">
        <v>0</v>
      </c>
      <c r="I957" t="n">
        <v>0</v>
      </c>
      <c r="J957" t="n">
        <v>0</v>
      </c>
      <c r="K957" t="n">
        <v>0</v>
      </c>
      <c r="L957" t="n">
        <v>0</v>
      </c>
      <c r="M957" t="n">
        <v>0</v>
      </c>
      <c r="N957" t="n">
        <v>0</v>
      </c>
      <c r="O957" t="n">
        <v>0</v>
      </c>
      <c r="P957" t="n">
        <v>0</v>
      </c>
      <c r="Q957" t="n">
        <v>0</v>
      </c>
      <c r="R957" s="2" t="inlineStr"/>
    </row>
    <row r="958" ht="15" customHeight="1">
      <c r="A958" t="inlineStr">
        <is>
          <t>A 19995-2019</t>
        </is>
      </c>
      <c r="B958" s="1" t="n">
        <v>43567</v>
      </c>
      <c r="C958" s="1" t="n">
        <v>45586</v>
      </c>
      <c r="D958" t="inlineStr">
        <is>
          <t>VÄSTRA GÖTALANDS LÄN</t>
        </is>
      </c>
      <c r="E958" t="inlineStr">
        <is>
          <t>TÖREBODA</t>
        </is>
      </c>
      <c r="G958" t="n">
        <v>3.1</v>
      </c>
      <c r="H958" t="n">
        <v>0</v>
      </c>
      <c r="I958" t="n">
        <v>0</v>
      </c>
      <c r="J958" t="n">
        <v>0</v>
      </c>
      <c r="K958" t="n">
        <v>0</v>
      </c>
      <c r="L958" t="n">
        <v>0</v>
      </c>
      <c r="M958" t="n">
        <v>0</v>
      </c>
      <c r="N958" t="n">
        <v>0</v>
      </c>
      <c r="O958" t="n">
        <v>0</v>
      </c>
      <c r="P958" t="n">
        <v>0</v>
      </c>
      <c r="Q958" t="n">
        <v>0</v>
      </c>
      <c r="R958" s="2" t="inlineStr"/>
    </row>
    <row r="959" ht="15" customHeight="1">
      <c r="A959" t="inlineStr">
        <is>
          <t>A 19747-2019</t>
        </is>
      </c>
      <c r="B959" s="1" t="n">
        <v>43567</v>
      </c>
      <c r="C959" s="1" t="n">
        <v>45586</v>
      </c>
      <c r="D959" t="inlineStr">
        <is>
          <t>VÄSTRA GÖTALANDS LÄN</t>
        </is>
      </c>
      <c r="E959" t="inlineStr">
        <is>
          <t>MARK</t>
        </is>
      </c>
      <c r="G959" t="n">
        <v>1.5</v>
      </c>
      <c r="H959" t="n">
        <v>0</v>
      </c>
      <c r="I959" t="n">
        <v>0</v>
      </c>
      <c r="J959" t="n">
        <v>0</v>
      </c>
      <c r="K959" t="n">
        <v>0</v>
      </c>
      <c r="L959" t="n">
        <v>0</v>
      </c>
      <c r="M959" t="n">
        <v>0</v>
      </c>
      <c r="N959" t="n">
        <v>0</v>
      </c>
      <c r="O959" t="n">
        <v>0</v>
      </c>
      <c r="P959" t="n">
        <v>0</v>
      </c>
      <c r="Q959" t="n">
        <v>0</v>
      </c>
      <c r="R959" s="2" t="inlineStr"/>
    </row>
    <row r="960" ht="15" customHeight="1">
      <c r="A960" t="inlineStr">
        <is>
          <t>A 19957-2019</t>
        </is>
      </c>
      <c r="B960" s="1" t="n">
        <v>43569</v>
      </c>
      <c r="C960" s="1" t="n">
        <v>45586</v>
      </c>
      <c r="D960" t="inlineStr">
        <is>
          <t>VÄSTRA GÖTALANDS LÄN</t>
        </is>
      </c>
      <c r="E960" t="inlineStr">
        <is>
          <t>UDDEVALLA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20074-2019</t>
        </is>
      </c>
      <c r="B961" s="1" t="n">
        <v>43570</v>
      </c>
      <c r="C961" s="1" t="n">
        <v>45586</v>
      </c>
      <c r="D961" t="inlineStr">
        <is>
          <t>VÄSTRA GÖTALANDS LÄN</t>
        </is>
      </c>
      <c r="E961" t="inlineStr">
        <is>
          <t>DALS-ED</t>
        </is>
      </c>
      <c r="G961" t="n">
        <v>0.6</v>
      </c>
      <c r="H961" t="n">
        <v>0</v>
      </c>
      <c r="I961" t="n">
        <v>0</v>
      </c>
      <c r="J961" t="n">
        <v>0</v>
      </c>
      <c r="K961" t="n">
        <v>0</v>
      </c>
      <c r="L961" t="n">
        <v>0</v>
      </c>
      <c r="M961" t="n">
        <v>0</v>
      </c>
      <c r="N961" t="n">
        <v>0</v>
      </c>
      <c r="O961" t="n">
        <v>0</v>
      </c>
      <c r="P961" t="n">
        <v>0</v>
      </c>
      <c r="Q961" t="n">
        <v>0</v>
      </c>
      <c r="R961" s="2" t="inlineStr"/>
    </row>
    <row r="962" ht="15" customHeight="1">
      <c r="A962" t="inlineStr">
        <is>
          <t>A 20108-2019</t>
        </is>
      </c>
      <c r="B962" s="1" t="n">
        <v>43570</v>
      </c>
      <c r="C962" s="1" t="n">
        <v>45586</v>
      </c>
      <c r="D962" t="inlineStr">
        <is>
          <t>VÄSTRA GÖTALANDS LÄN</t>
        </is>
      </c>
      <c r="E962" t="inlineStr">
        <is>
          <t>MARIESTAD</t>
        </is>
      </c>
      <c r="F962" t="inlineStr">
        <is>
          <t>Kyrkan</t>
        </is>
      </c>
      <c r="G962" t="n">
        <v>5.7</v>
      </c>
      <c r="H962" t="n">
        <v>0</v>
      </c>
      <c r="I962" t="n">
        <v>0</v>
      </c>
      <c r="J962" t="n">
        <v>0</v>
      </c>
      <c r="K962" t="n">
        <v>0</v>
      </c>
      <c r="L962" t="n">
        <v>0</v>
      </c>
      <c r="M962" t="n">
        <v>0</v>
      </c>
      <c r="N962" t="n">
        <v>0</v>
      </c>
      <c r="O962" t="n">
        <v>0</v>
      </c>
      <c r="P962" t="n">
        <v>0</v>
      </c>
      <c r="Q962" t="n">
        <v>0</v>
      </c>
      <c r="R962" s="2" t="inlineStr"/>
    </row>
    <row r="963" ht="15" customHeight="1">
      <c r="A963" t="inlineStr">
        <is>
          <t>A 20160-2019</t>
        </is>
      </c>
      <c r="B963" s="1" t="n">
        <v>43570</v>
      </c>
      <c r="C963" s="1" t="n">
        <v>45586</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20168-2019</t>
        </is>
      </c>
      <c r="B964" s="1" t="n">
        <v>43570</v>
      </c>
      <c r="C964" s="1" t="n">
        <v>45586</v>
      </c>
      <c r="D964" t="inlineStr">
        <is>
          <t>VÄSTRA GÖTALANDS LÄN</t>
        </is>
      </c>
      <c r="E964" t="inlineStr">
        <is>
          <t>HJO</t>
        </is>
      </c>
      <c r="G964" t="n">
        <v>0.9</v>
      </c>
      <c r="H964" t="n">
        <v>0</v>
      </c>
      <c r="I964" t="n">
        <v>0</v>
      </c>
      <c r="J964" t="n">
        <v>0</v>
      </c>
      <c r="K964" t="n">
        <v>0</v>
      </c>
      <c r="L964" t="n">
        <v>0</v>
      </c>
      <c r="M964" t="n">
        <v>0</v>
      </c>
      <c r="N964" t="n">
        <v>0</v>
      </c>
      <c r="O964" t="n">
        <v>0</v>
      </c>
      <c r="P964" t="n">
        <v>0</v>
      </c>
      <c r="Q964" t="n">
        <v>0</v>
      </c>
      <c r="R964" s="2" t="inlineStr"/>
    </row>
    <row r="965" ht="15" customHeight="1">
      <c r="A965" t="inlineStr">
        <is>
          <t>A 20191-2019</t>
        </is>
      </c>
      <c r="B965" s="1" t="n">
        <v>43570</v>
      </c>
      <c r="C965" s="1" t="n">
        <v>45586</v>
      </c>
      <c r="D965" t="inlineStr">
        <is>
          <t>VÄSTRA GÖTALANDS LÄN</t>
        </is>
      </c>
      <c r="E965" t="inlineStr">
        <is>
          <t>MARK</t>
        </is>
      </c>
      <c r="G965" t="n">
        <v>3</v>
      </c>
      <c r="H965" t="n">
        <v>0</v>
      </c>
      <c r="I965" t="n">
        <v>0</v>
      </c>
      <c r="J965" t="n">
        <v>0</v>
      </c>
      <c r="K965" t="n">
        <v>0</v>
      </c>
      <c r="L965" t="n">
        <v>0</v>
      </c>
      <c r="M965" t="n">
        <v>0</v>
      </c>
      <c r="N965" t="n">
        <v>0</v>
      </c>
      <c r="O965" t="n">
        <v>0</v>
      </c>
      <c r="P965" t="n">
        <v>0</v>
      </c>
      <c r="Q965" t="n">
        <v>0</v>
      </c>
      <c r="R965" s="2" t="inlineStr"/>
    </row>
    <row r="966" ht="15" customHeight="1">
      <c r="A966" t="inlineStr">
        <is>
          <t>A 20315-2019</t>
        </is>
      </c>
      <c r="B966" s="1" t="n">
        <v>43570</v>
      </c>
      <c r="C966" s="1" t="n">
        <v>45586</v>
      </c>
      <c r="D966" t="inlineStr">
        <is>
          <t>VÄSTRA GÖTALANDS LÄN</t>
        </is>
      </c>
      <c r="E966" t="inlineStr">
        <is>
          <t>HÄRRYDA</t>
        </is>
      </c>
      <c r="G966" t="n">
        <v>1.8</v>
      </c>
      <c r="H966" t="n">
        <v>0</v>
      </c>
      <c r="I966" t="n">
        <v>0</v>
      </c>
      <c r="J966" t="n">
        <v>0</v>
      </c>
      <c r="K966" t="n">
        <v>0</v>
      </c>
      <c r="L966" t="n">
        <v>0</v>
      </c>
      <c r="M966" t="n">
        <v>0</v>
      </c>
      <c r="N966" t="n">
        <v>0</v>
      </c>
      <c r="O966" t="n">
        <v>0</v>
      </c>
      <c r="P966" t="n">
        <v>0</v>
      </c>
      <c r="Q966" t="n">
        <v>0</v>
      </c>
      <c r="R966" s="2" t="inlineStr"/>
    </row>
    <row r="967" ht="15" customHeight="1">
      <c r="A967" t="inlineStr">
        <is>
          <t>A 20025-2019</t>
        </is>
      </c>
      <c r="B967" s="1" t="n">
        <v>43570</v>
      </c>
      <c r="C967" s="1" t="n">
        <v>45586</v>
      </c>
      <c r="D967" t="inlineStr">
        <is>
          <t>VÄSTRA GÖTALANDS LÄN</t>
        </is>
      </c>
      <c r="E967" t="inlineStr">
        <is>
          <t>HJO</t>
        </is>
      </c>
      <c r="G967" t="n">
        <v>1.6</v>
      </c>
      <c r="H967" t="n">
        <v>0</v>
      </c>
      <c r="I967" t="n">
        <v>0</v>
      </c>
      <c r="J967" t="n">
        <v>0</v>
      </c>
      <c r="K967" t="n">
        <v>0</v>
      </c>
      <c r="L967" t="n">
        <v>0</v>
      </c>
      <c r="M967" t="n">
        <v>0</v>
      </c>
      <c r="N967" t="n">
        <v>0</v>
      </c>
      <c r="O967" t="n">
        <v>0</v>
      </c>
      <c r="P967" t="n">
        <v>0</v>
      </c>
      <c r="Q967" t="n">
        <v>0</v>
      </c>
      <c r="R967" s="2" t="inlineStr"/>
    </row>
    <row r="968" ht="15" customHeight="1">
      <c r="A968" t="inlineStr">
        <is>
          <t>A 20302-2019</t>
        </is>
      </c>
      <c r="B968" s="1" t="n">
        <v>43571</v>
      </c>
      <c r="C968" s="1" t="n">
        <v>45586</v>
      </c>
      <c r="D968" t="inlineStr">
        <is>
          <t>VÄSTRA GÖTALANDS LÄN</t>
        </is>
      </c>
      <c r="E968" t="inlineStr">
        <is>
          <t>BOLLEBYGD</t>
        </is>
      </c>
      <c r="G968" t="n">
        <v>2.5</v>
      </c>
      <c r="H968" t="n">
        <v>0</v>
      </c>
      <c r="I968" t="n">
        <v>0</v>
      </c>
      <c r="J968" t="n">
        <v>0</v>
      </c>
      <c r="K968" t="n">
        <v>0</v>
      </c>
      <c r="L968" t="n">
        <v>0</v>
      </c>
      <c r="M968" t="n">
        <v>0</v>
      </c>
      <c r="N968" t="n">
        <v>0</v>
      </c>
      <c r="O968" t="n">
        <v>0</v>
      </c>
      <c r="P968" t="n">
        <v>0</v>
      </c>
      <c r="Q968" t="n">
        <v>0</v>
      </c>
      <c r="R968" s="2" t="inlineStr"/>
    </row>
    <row r="969" ht="15" customHeight="1">
      <c r="A969" t="inlineStr">
        <is>
          <t>A 20425-2019</t>
        </is>
      </c>
      <c r="B969" s="1" t="n">
        <v>43571</v>
      </c>
      <c r="C969" s="1" t="n">
        <v>45586</v>
      </c>
      <c r="D969" t="inlineStr">
        <is>
          <t>VÄSTRA GÖTALANDS LÄN</t>
        </is>
      </c>
      <c r="E969" t="inlineStr">
        <is>
          <t>HJO</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20436-2019</t>
        </is>
      </c>
      <c r="B970" s="1" t="n">
        <v>43571</v>
      </c>
      <c r="C970" s="1" t="n">
        <v>45586</v>
      </c>
      <c r="D970" t="inlineStr">
        <is>
          <t>VÄSTRA GÖTALANDS LÄN</t>
        </is>
      </c>
      <c r="E970" t="inlineStr">
        <is>
          <t>LILLA EDET</t>
        </is>
      </c>
      <c r="G970" t="n">
        <v>4.2</v>
      </c>
      <c r="H970" t="n">
        <v>0</v>
      </c>
      <c r="I970" t="n">
        <v>0</v>
      </c>
      <c r="J970" t="n">
        <v>0</v>
      </c>
      <c r="K970" t="n">
        <v>0</v>
      </c>
      <c r="L970" t="n">
        <v>0</v>
      </c>
      <c r="M970" t="n">
        <v>0</v>
      </c>
      <c r="N970" t="n">
        <v>0</v>
      </c>
      <c r="O970" t="n">
        <v>0</v>
      </c>
      <c r="P970" t="n">
        <v>0</v>
      </c>
      <c r="Q970" t="n">
        <v>0</v>
      </c>
      <c r="R970" s="2" t="inlineStr"/>
    </row>
    <row r="971" ht="15" customHeight="1">
      <c r="A971" t="inlineStr">
        <is>
          <t>A 20421-2019</t>
        </is>
      </c>
      <c r="B971" s="1" t="n">
        <v>43571</v>
      </c>
      <c r="C971" s="1" t="n">
        <v>45586</v>
      </c>
      <c r="D971" t="inlineStr">
        <is>
          <t>VÄSTRA GÖTALANDS LÄN</t>
        </is>
      </c>
      <c r="E971" t="inlineStr">
        <is>
          <t>KUNGÄLV</t>
        </is>
      </c>
      <c r="G971" t="n">
        <v>2.8</v>
      </c>
      <c r="H971" t="n">
        <v>0</v>
      </c>
      <c r="I971" t="n">
        <v>0</v>
      </c>
      <c r="J971" t="n">
        <v>0</v>
      </c>
      <c r="K971" t="n">
        <v>0</v>
      </c>
      <c r="L971" t="n">
        <v>0</v>
      </c>
      <c r="M971" t="n">
        <v>0</v>
      </c>
      <c r="N971" t="n">
        <v>0</v>
      </c>
      <c r="O971" t="n">
        <v>0</v>
      </c>
      <c r="P971" t="n">
        <v>0</v>
      </c>
      <c r="Q971" t="n">
        <v>0</v>
      </c>
      <c r="R971" s="2" t="inlineStr"/>
    </row>
    <row r="972" ht="15" customHeight="1">
      <c r="A972" t="inlineStr">
        <is>
          <t>A 20231-2019</t>
        </is>
      </c>
      <c r="B972" s="1" t="n">
        <v>43571</v>
      </c>
      <c r="C972" s="1" t="n">
        <v>45586</v>
      </c>
      <c r="D972" t="inlineStr">
        <is>
          <t>VÄSTRA GÖTALANDS LÄN</t>
        </is>
      </c>
      <c r="E972" t="inlineStr">
        <is>
          <t>ALINGSÅS</t>
        </is>
      </c>
      <c r="G972" t="n">
        <v>3.3</v>
      </c>
      <c r="H972" t="n">
        <v>0</v>
      </c>
      <c r="I972" t="n">
        <v>0</v>
      </c>
      <c r="J972" t="n">
        <v>0</v>
      </c>
      <c r="K972" t="n">
        <v>0</v>
      </c>
      <c r="L972" t="n">
        <v>0</v>
      </c>
      <c r="M972" t="n">
        <v>0</v>
      </c>
      <c r="N972" t="n">
        <v>0</v>
      </c>
      <c r="O972" t="n">
        <v>0</v>
      </c>
      <c r="P972" t="n">
        <v>0</v>
      </c>
      <c r="Q972" t="n">
        <v>0</v>
      </c>
      <c r="R972" s="2" t="inlineStr"/>
    </row>
    <row r="973" ht="15" customHeight="1">
      <c r="A973" t="inlineStr">
        <is>
          <t>A 20286-2019</t>
        </is>
      </c>
      <c r="B973" s="1" t="n">
        <v>43571</v>
      </c>
      <c r="C973" s="1" t="n">
        <v>45586</v>
      </c>
      <c r="D973" t="inlineStr">
        <is>
          <t>VÄSTRA GÖTALANDS LÄN</t>
        </is>
      </c>
      <c r="E973" t="inlineStr">
        <is>
          <t>DALS-ED</t>
        </is>
      </c>
      <c r="G973" t="n">
        <v>2.1</v>
      </c>
      <c r="H973" t="n">
        <v>0</v>
      </c>
      <c r="I973" t="n">
        <v>0</v>
      </c>
      <c r="J973" t="n">
        <v>0</v>
      </c>
      <c r="K973" t="n">
        <v>0</v>
      </c>
      <c r="L973" t="n">
        <v>0</v>
      </c>
      <c r="M973" t="n">
        <v>0</v>
      </c>
      <c r="N973" t="n">
        <v>0</v>
      </c>
      <c r="O973" t="n">
        <v>0</v>
      </c>
      <c r="P973" t="n">
        <v>0</v>
      </c>
      <c r="Q973" t="n">
        <v>0</v>
      </c>
      <c r="R973" s="2" t="inlineStr"/>
    </row>
    <row r="974" ht="15" customHeight="1">
      <c r="A974" t="inlineStr">
        <is>
          <t>A 20552-2019</t>
        </is>
      </c>
      <c r="B974" s="1" t="n">
        <v>43572</v>
      </c>
      <c r="C974" s="1" t="n">
        <v>45586</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20557-2019</t>
        </is>
      </c>
      <c r="B975" s="1" t="n">
        <v>43572</v>
      </c>
      <c r="C975" s="1" t="n">
        <v>45586</v>
      </c>
      <c r="D975" t="inlineStr">
        <is>
          <t>VÄSTRA GÖTALANDS LÄN</t>
        </is>
      </c>
      <c r="E975" t="inlineStr">
        <is>
          <t>KARLSBORG</t>
        </is>
      </c>
      <c r="G975" t="n">
        <v>10.1</v>
      </c>
      <c r="H975" t="n">
        <v>0</v>
      </c>
      <c r="I975" t="n">
        <v>0</v>
      </c>
      <c r="J975" t="n">
        <v>0</v>
      </c>
      <c r="K975" t="n">
        <v>0</v>
      </c>
      <c r="L975" t="n">
        <v>0</v>
      </c>
      <c r="M975" t="n">
        <v>0</v>
      </c>
      <c r="N975" t="n">
        <v>0</v>
      </c>
      <c r="O975" t="n">
        <v>0</v>
      </c>
      <c r="P975" t="n">
        <v>0</v>
      </c>
      <c r="Q975" t="n">
        <v>0</v>
      </c>
      <c r="R975" s="2" t="inlineStr"/>
    </row>
    <row r="976" ht="15" customHeight="1">
      <c r="A976" t="inlineStr">
        <is>
          <t>A 20660-2019</t>
        </is>
      </c>
      <c r="B976" s="1" t="n">
        <v>43572</v>
      </c>
      <c r="C976" s="1" t="n">
        <v>45586</v>
      </c>
      <c r="D976" t="inlineStr">
        <is>
          <t>VÄSTRA GÖTALANDS LÄN</t>
        </is>
      </c>
      <c r="E976" t="inlineStr">
        <is>
          <t>SKÖVDE</t>
        </is>
      </c>
      <c r="G976" t="n">
        <v>5.5</v>
      </c>
      <c r="H976" t="n">
        <v>0</v>
      </c>
      <c r="I976" t="n">
        <v>0</v>
      </c>
      <c r="J976" t="n">
        <v>0</v>
      </c>
      <c r="K976" t="n">
        <v>0</v>
      </c>
      <c r="L976" t="n">
        <v>0</v>
      </c>
      <c r="M976" t="n">
        <v>0</v>
      </c>
      <c r="N976" t="n">
        <v>0</v>
      </c>
      <c r="O976" t="n">
        <v>0</v>
      </c>
      <c r="P976" t="n">
        <v>0</v>
      </c>
      <c r="Q976" t="n">
        <v>0</v>
      </c>
      <c r="R976" s="2" t="inlineStr"/>
    </row>
    <row r="977" ht="15" customHeight="1">
      <c r="A977" t="inlineStr">
        <is>
          <t>A 20624-2019</t>
        </is>
      </c>
      <c r="B977" s="1" t="n">
        <v>43572</v>
      </c>
      <c r="C977" s="1" t="n">
        <v>45586</v>
      </c>
      <c r="D977" t="inlineStr">
        <is>
          <t>VÄSTRA GÖTALANDS LÄN</t>
        </is>
      </c>
      <c r="E977" t="inlineStr">
        <is>
          <t>UDDEVALLA</t>
        </is>
      </c>
      <c r="G977" t="n">
        <v>16.3</v>
      </c>
      <c r="H977" t="n">
        <v>0</v>
      </c>
      <c r="I977" t="n">
        <v>0</v>
      </c>
      <c r="J977" t="n">
        <v>0</v>
      </c>
      <c r="K977" t="n">
        <v>0</v>
      </c>
      <c r="L977" t="n">
        <v>0</v>
      </c>
      <c r="M977" t="n">
        <v>0</v>
      </c>
      <c r="N977" t="n">
        <v>0</v>
      </c>
      <c r="O977" t="n">
        <v>0</v>
      </c>
      <c r="P977" t="n">
        <v>0</v>
      </c>
      <c r="Q977" t="n">
        <v>0</v>
      </c>
      <c r="R977" s="2" t="inlineStr"/>
    </row>
    <row r="978" ht="15" customHeight="1">
      <c r="A978" t="inlineStr">
        <is>
          <t>A 20622-2019</t>
        </is>
      </c>
      <c r="B978" s="1" t="n">
        <v>43572</v>
      </c>
      <c r="C978" s="1" t="n">
        <v>45586</v>
      </c>
      <c r="D978" t="inlineStr">
        <is>
          <t>VÄSTRA GÖTALANDS LÄN</t>
        </is>
      </c>
      <c r="E978" t="inlineStr">
        <is>
          <t>KARLSBORG</t>
        </is>
      </c>
      <c r="G978" t="n">
        <v>14.5</v>
      </c>
      <c r="H978" t="n">
        <v>0</v>
      </c>
      <c r="I978" t="n">
        <v>0</v>
      </c>
      <c r="J978" t="n">
        <v>0</v>
      </c>
      <c r="K978" t="n">
        <v>0</v>
      </c>
      <c r="L978" t="n">
        <v>0</v>
      </c>
      <c r="M978" t="n">
        <v>0</v>
      </c>
      <c r="N978" t="n">
        <v>0</v>
      </c>
      <c r="O978" t="n">
        <v>0</v>
      </c>
      <c r="P978" t="n">
        <v>0</v>
      </c>
      <c r="Q978" t="n">
        <v>0</v>
      </c>
      <c r="R978" s="2" t="inlineStr"/>
    </row>
    <row r="979" ht="15" customHeight="1">
      <c r="A979" t="inlineStr">
        <is>
          <t>A 20613-2019</t>
        </is>
      </c>
      <c r="B979" s="1" t="n">
        <v>43572</v>
      </c>
      <c r="C979" s="1" t="n">
        <v>45586</v>
      </c>
      <c r="D979" t="inlineStr">
        <is>
          <t>VÄSTRA GÖTALANDS LÄN</t>
        </is>
      </c>
      <c r="E979" t="inlineStr">
        <is>
          <t>SVENLJUNGA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20574-2019</t>
        </is>
      </c>
      <c r="B980" s="1" t="n">
        <v>43572</v>
      </c>
      <c r="C980" s="1" t="n">
        <v>45586</v>
      </c>
      <c r="D980" t="inlineStr">
        <is>
          <t>VÄSTRA GÖTALANDS LÄN</t>
        </is>
      </c>
      <c r="E980" t="inlineStr">
        <is>
          <t>VÅRGÅRDA</t>
        </is>
      </c>
      <c r="G980" t="n">
        <v>5.5</v>
      </c>
      <c r="H980" t="n">
        <v>0</v>
      </c>
      <c r="I980" t="n">
        <v>0</v>
      </c>
      <c r="J980" t="n">
        <v>0</v>
      </c>
      <c r="K980" t="n">
        <v>0</v>
      </c>
      <c r="L980" t="n">
        <v>0</v>
      </c>
      <c r="M980" t="n">
        <v>0</v>
      </c>
      <c r="N980" t="n">
        <v>0</v>
      </c>
      <c r="O980" t="n">
        <v>0</v>
      </c>
      <c r="P980" t="n">
        <v>0</v>
      </c>
      <c r="Q980" t="n">
        <v>0</v>
      </c>
      <c r="R980" s="2" t="inlineStr"/>
    </row>
    <row r="981" ht="15" customHeight="1">
      <c r="A981" t="inlineStr">
        <is>
          <t>A 20763-2019</t>
        </is>
      </c>
      <c r="B981" s="1" t="n">
        <v>43573</v>
      </c>
      <c r="C981" s="1" t="n">
        <v>45586</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20783-2019</t>
        </is>
      </c>
      <c r="B982" s="1" t="n">
        <v>43573</v>
      </c>
      <c r="C982" s="1" t="n">
        <v>45586</v>
      </c>
      <c r="D982" t="inlineStr">
        <is>
          <t>VÄSTRA GÖTALANDS LÄN</t>
        </is>
      </c>
      <c r="E982" t="inlineStr">
        <is>
          <t>MELLERUD</t>
        </is>
      </c>
      <c r="G982" t="n">
        <v>2.8</v>
      </c>
      <c r="H982" t="n">
        <v>0</v>
      </c>
      <c r="I982" t="n">
        <v>0</v>
      </c>
      <c r="J982" t="n">
        <v>0</v>
      </c>
      <c r="K982" t="n">
        <v>0</v>
      </c>
      <c r="L982" t="n">
        <v>0</v>
      </c>
      <c r="M982" t="n">
        <v>0</v>
      </c>
      <c r="N982" t="n">
        <v>0</v>
      </c>
      <c r="O982" t="n">
        <v>0</v>
      </c>
      <c r="P982" t="n">
        <v>0</v>
      </c>
      <c r="Q982" t="n">
        <v>0</v>
      </c>
      <c r="R982" s="2" t="inlineStr"/>
    </row>
    <row r="983" ht="15" customHeight="1">
      <c r="A983" t="inlineStr">
        <is>
          <t>A 20885-2019</t>
        </is>
      </c>
      <c r="B983" s="1" t="n">
        <v>43573</v>
      </c>
      <c r="C983" s="1" t="n">
        <v>45586</v>
      </c>
      <c r="D983" t="inlineStr">
        <is>
          <t>VÄSTRA GÖTALANDS LÄN</t>
        </is>
      </c>
      <c r="E983" t="inlineStr">
        <is>
          <t>TRANEMO</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20830-2019</t>
        </is>
      </c>
      <c r="B984" s="1" t="n">
        <v>43574</v>
      </c>
      <c r="C984" s="1" t="n">
        <v>45586</v>
      </c>
      <c r="D984" t="inlineStr">
        <is>
          <t>VÄSTRA GÖTALANDS LÄN</t>
        </is>
      </c>
      <c r="E984" t="inlineStr">
        <is>
          <t>UDDEVALLA</t>
        </is>
      </c>
      <c r="G984" t="n">
        <v>1.9</v>
      </c>
      <c r="H984" t="n">
        <v>0</v>
      </c>
      <c r="I984" t="n">
        <v>0</v>
      </c>
      <c r="J984" t="n">
        <v>0</v>
      </c>
      <c r="K984" t="n">
        <v>0</v>
      </c>
      <c r="L984" t="n">
        <v>0</v>
      </c>
      <c r="M984" t="n">
        <v>0</v>
      </c>
      <c r="N984" t="n">
        <v>0</v>
      </c>
      <c r="O984" t="n">
        <v>0</v>
      </c>
      <c r="P984" t="n">
        <v>0</v>
      </c>
      <c r="Q984" t="n">
        <v>0</v>
      </c>
      <c r="R984" s="2" t="inlineStr"/>
    </row>
    <row r="985" ht="15" customHeight="1">
      <c r="A985" t="inlineStr">
        <is>
          <t>A 20848-2019</t>
        </is>
      </c>
      <c r="B985" s="1" t="n">
        <v>43577</v>
      </c>
      <c r="C985" s="1" t="n">
        <v>45586</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20908-2019</t>
        </is>
      </c>
      <c r="B986" s="1" t="n">
        <v>43578</v>
      </c>
      <c r="C986" s="1" t="n">
        <v>45586</v>
      </c>
      <c r="D986" t="inlineStr">
        <is>
          <t>VÄSTRA GÖTALANDS LÄN</t>
        </is>
      </c>
      <c r="E986" t="inlineStr">
        <is>
          <t>MELLERUD</t>
        </is>
      </c>
      <c r="G986" t="n">
        <v>9.5</v>
      </c>
      <c r="H986" t="n">
        <v>0</v>
      </c>
      <c r="I986" t="n">
        <v>0</v>
      </c>
      <c r="J986" t="n">
        <v>0</v>
      </c>
      <c r="K986" t="n">
        <v>0</v>
      </c>
      <c r="L986" t="n">
        <v>0</v>
      </c>
      <c r="M986" t="n">
        <v>0</v>
      </c>
      <c r="N986" t="n">
        <v>0</v>
      </c>
      <c r="O986" t="n">
        <v>0</v>
      </c>
      <c r="P986" t="n">
        <v>0</v>
      </c>
      <c r="Q986" t="n">
        <v>0</v>
      </c>
      <c r="R986" s="2" t="inlineStr"/>
    </row>
    <row r="987" ht="15" customHeight="1">
      <c r="A987" t="inlineStr">
        <is>
          <t>A 20979-2019</t>
        </is>
      </c>
      <c r="B987" s="1" t="n">
        <v>43578</v>
      </c>
      <c r="C987" s="1" t="n">
        <v>45586</v>
      </c>
      <c r="D987" t="inlineStr">
        <is>
          <t>VÄSTRA GÖTALANDS LÄN</t>
        </is>
      </c>
      <c r="E987" t="inlineStr">
        <is>
          <t>DALS-ED</t>
        </is>
      </c>
      <c r="G987" t="n">
        <v>1.4</v>
      </c>
      <c r="H987" t="n">
        <v>0</v>
      </c>
      <c r="I987" t="n">
        <v>0</v>
      </c>
      <c r="J987" t="n">
        <v>0</v>
      </c>
      <c r="K987" t="n">
        <v>0</v>
      </c>
      <c r="L987" t="n">
        <v>0</v>
      </c>
      <c r="M987" t="n">
        <v>0</v>
      </c>
      <c r="N987" t="n">
        <v>0</v>
      </c>
      <c r="O987" t="n">
        <v>0</v>
      </c>
      <c r="P987" t="n">
        <v>0</v>
      </c>
      <c r="Q987" t="n">
        <v>0</v>
      </c>
      <c r="R987" s="2" t="inlineStr"/>
    </row>
    <row r="988" ht="15" customHeight="1">
      <c r="A988" t="inlineStr">
        <is>
          <t>A 20994-2019</t>
        </is>
      </c>
      <c r="B988" s="1" t="n">
        <v>43578</v>
      </c>
      <c r="C988" s="1" t="n">
        <v>45586</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20935-2019</t>
        </is>
      </c>
      <c r="B989" s="1" t="n">
        <v>43578</v>
      </c>
      <c r="C989" s="1" t="n">
        <v>45586</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20971-2019</t>
        </is>
      </c>
      <c r="B990" s="1" t="n">
        <v>43578</v>
      </c>
      <c r="C990" s="1" t="n">
        <v>45586</v>
      </c>
      <c r="D990" t="inlineStr">
        <is>
          <t>VÄSTRA GÖTALANDS LÄN</t>
        </is>
      </c>
      <c r="E990" t="inlineStr">
        <is>
          <t>FALKÖPING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20981-2019</t>
        </is>
      </c>
      <c r="B991" s="1" t="n">
        <v>43578</v>
      </c>
      <c r="C991" s="1" t="n">
        <v>45586</v>
      </c>
      <c r="D991" t="inlineStr">
        <is>
          <t>VÄSTRA GÖTALANDS LÄN</t>
        </is>
      </c>
      <c r="E991" t="inlineStr">
        <is>
          <t>BENGTSFORS</t>
        </is>
      </c>
      <c r="G991" t="n">
        <v>0.8</v>
      </c>
      <c r="H991" t="n">
        <v>0</v>
      </c>
      <c r="I991" t="n">
        <v>0</v>
      </c>
      <c r="J991" t="n">
        <v>0</v>
      </c>
      <c r="K991" t="n">
        <v>0</v>
      </c>
      <c r="L991" t="n">
        <v>0</v>
      </c>
      <c r="M991" t="n">
        <v>0</v>
      </c>
      <c r="N991" t="n">
        <v>0</v>
      </c>
      <c r="O991" t="n">
        <v>0</v>
      </c>
      <c r="P991" t="n">
        <v>0</v>
      </c>
      <c r="Q991" t="n">
        <v>0</v>
      </c>
      <c r="R991" s="2" t="inlineStr"/>
    </row>
    <row r="992" ht="15" customHeight="1">
      <c r="A992" t="inlineStr">
        <is>
          <t>A 20870-2019</t>
        </is>
      </c>
      <c r="B992" s="1" t="n">
        <v>43578</v>
      </c>
      <c r="C992" s="1" t="n">
        <v>45586</v>
      </c>
      <c r="D992" t="inlineStr">
        <is>
          <t>VÄSTRA GÖTALANDS LÄN</t>
        </is>
      </c>
      <c r="E992" t="inlineStr">
        <is>
          <t>ULRICEHAMN</t>
        </is>
      </c>
      <c r="G992" t="n">
        <v>2.1</v>
      </c>
      <c r="H992" t="n">
        <v>0</v>
      </c>
      <c r="I992" t="n">
        <v>0</v>
      </c>
      <c r="J992" t="n">
        <v>0</v>
      </c>
      <c r="K992" t="n">
        <v>0</v>
      </c>
      <c r="L992" t="n">
        <v>0</v>
      </c>
      <c r="M992" t="n">
        <v>0</v>
      </c>
      <c r="N992" t="n">
        <v>0</v>
      </c>
      <c r="O992" t="n">
        <v>0</v>
      </c>
      <c r="P992" t="n">
        <v>0</v>
      </c>
      <c r="Q992" t="n">
        <v>0</v>
      </c>
      <c r="R992" s="2" t="inlineStr"/>
    </row>
    <row r="993" ht="15" customHeight="1">
      <c r="A993" t="inlineStr">
        <is>
          <t>A 20954-2019</t>
        </is>
      </c>
      <c r="B993" s="1" t="n">
        <v>43578</v>
      </c>
      <c r="C993" s="1" t="n">
        <v>45586</v>
      </c>
      <c r="D993" t="inlineStr">
        <is>
          <t>VÄSTRA GÖTALANDS LÄN</t>
        </is>
      </c>
      <c r="E993" t="inlineStr">
        <is>
          <t>ULRICEHAMN</t>
        </is>
      </c>
      <c r="G993" t="n">
        <v>1.5</v>
      </c>
      <c r="H993" t="n">
        <v>0</v>
      </c>
      <c r="I993" t="n">
        <v>0</v>
      </c>
      <c r="J993" t="n">
        <v>0</v>
      </c>
      <c r="K993" t="n">
        <v>0</v>
      </c>
      <c r="L993" t="n">
        <v>0</v>
      </c>
      <c r="M993" t="n">
        <v>0</v>
      </c>
      <c r="N993" t="n">
        <v>0</v>
      </c>
      <c r="O993" t="n">
        <v>0</v>
      </c>
      <c r="P993" t="n">
        <v>0</v>
      </c>
      <c r="Q993" t="n">
        <v>0</v>
      </c>
      <c r="R993" s="2" t="inlineStr"/>
    </row>
    <row r="994" ht="15" customHeight="1">
      <c r="A994" t="inlineStr">
        <is>
          <t>A 20997-2019</t>
        </is>
      </c>
      <c r="B994" s="1" t="n">
        <v>43578</v>
      </c>
      <c r="C994" s="1" t="n">
        <v>45586</v>
      </c>
      <c r="D994" t="inlineStr">
        <is>
          <t>VÄSTRA GÖTALANDS LÄN</t>
        </is>
      </c>
      <c r="E994" t="inlineStr">
        <is>
          <t>ULRICEHAMN</t>
        </is>
      </c>
      <c r="G994" t="n">
        <v>0.5</v>
      </c>
      <c r="H994" t="n">
        <v>0</v>
      </c>
      <c r="I994" t="n">
        <v>0</v>
      </c>
      <c r="J994" t="n">
        <v>0</v>
      </c>
      <c r="K994" t="n">
        <v>0</v>
      </c>
      <c r="L994" t="n">
        <v>0</v>
      </c>
      <c r="M994" t="n">
        <v>0</v>
      </c>
      <c r="N994" t="n">
        <v>0</v>
      </c>
      <c r="O994" t="n">
        <v>0</v>
      </c>
      <c r="P994" t="n">
        <v>0</v>
      </c>
      <c r="Q994" t="n">
        <v>0</v>
      </c>
      <c r="R994" s="2" t="inlineStr"/>
    </row>
    <row r="995" ht="15" customHeight="1">
      <c r="A995" t="inlineStr">
        <is>
          <t>A 21070-2019</t>
        </is>
      </c>
      <c r="B995" s="1" t="n">
        <v>43578</v>
      </c>
      <c r="C995" s="1" t="n">
        <v>45586</v>
      </c>
      <c r="D995" t="inlineStr">
        <is>
          <t>VÄSTRA GÖTALANDS LÄN</t>
        </is>
      </c>
      <c r="E995" t="inlineStr">
        <is>
          <t>MARK</t>
        </is>
      </c>
      <c r="G995" t="n">
        <v>1.5</v>
      </c>
      <c r="H995" t="n">
        <v>0</v>
      </c>
      <c r="I995" t="n">
        <v>0</v>
      </c>
      <c r="J995" t="n">
        <v>0</v>
      </c>
      <c r="K995" t="n">
        <v>0</v>
      </c>
      <c r="L995" t="n">
        <v>0</v>
      </c>
      <c r="M995" t="n">
        <v>0</v>
      </c>
      <c r="N995" t="n">
        <v>0</v>
      </c>
      <c r="O995" t="n">
        <v>0</v>
      </c>
      <c r="P995" t="n">
        <v>0</v>
      </c>
      <c r="Q995" t="n">
        <v>0</v>
      </c>
      <c r="R995" s="2" t="inlineStr"/>
    </row>
    <row r="996" ht="15" customHeight="1">
      <c r="A996" t="inlineStr">
        <is>
          <t>A 21049-2019</t>
        </is>
      </c>
      <c r="B996" s="1" t="n">
        <v>43578</v>
      </c>
      <c r="C996" s="1" t="n">
        <v>45586</v>
      </c>
      <c r="D996" t="inlineStr">
        <is>
          <t>VÄSTRA GÖTALANDS LÄN</t>
        </is>
      </c>
      <c r="E996" t="inlineStr">
        <is>
          <t>ULRICEHAMN</t>
        </is>
      </c>
      <c r="G996" t="n">
        <v>3.1</v>
      </c>
      <c r="H996" t="n">
        <v>0</v>
      </c>
      <c r="I996" t="n">
        <v>0</v>
      </c>
      <c r="J996" t="n">
        <v>0</v>
      </c>
      <c r="K996" t="n">
        <v>0</v>
      </c>
      <c r="L996" t="n">
        <v>0</v>
      </c>
      <c r="M996" t="n">
        <v>0</v>
      </c>
      <c r="N996" t="n">
        <v>0</v>
      </c>
      <c r="O996" t="n">
        <v>0</v>
      </c>
      <c r="P996" t="n">
        <v>0</v>
      </c>
      <c r="Q996" t="n">
        <v>0</v>
      </c>
      <c r="R996" s="2" t="inlineStr"/>
    </row>
    <row r="997" ht="15" customHeight="1">
      <c r="A997" t="inlineStr">
        <is>
          <t>A 21017-2019</t>
        </is>
      </c>
      <c r="B997" s="1" t="n">
        <v>43578</v>
      </c>
      <c r="C997" s="1" t="n">
        <v>45586</v>
      </c>
      <c r="D997" t="inlineStr">
        <is>
          <t>VÄSTRA GÖTALANDS LÄN</t>
        </is>
      </c>
      <c r="E997" t="inlineStr">
        <is>
          <t>TRANEMO</t>
        </is>
      </c>
      <c r="G997" t="n">
        <v>1</v>
      </c>
      <c r="H997" t="n">
        <v>0</v>
      </c>
      <c r="I997" t="n">
        <v>0</v>
      </c>
      <c r="J997" t="n">
        <v>0</v>
      </c>
      <c r="K997" t="n">
        <v>0</v>
      </c>
      <c r="L997" t="n">
        <v>0</v>
      </c>
      <c r="M997" t="n">
        <v>0</v>
      </c>
      <c r="N997" t="n">
        <v>0</v>
      </c>
      <c r="O997" t="n">
        <v>0</v>
      </c>
      <c r="P997" t="n">
        <v>0</v>
      </c>
      <c r="Q997" t="n">
        <v>0</v>
      </c>
      <c r="R997" s="2" t="inlineStr"/>
    </row>
    <row r="998" ht="15" customHeight="1">
      <c r="A998" t="inlineStr">
        <is>
          <t>A 20999-2019</t>
        </is>
      </c>
      <c r="B998" s="1" t="n">
        <v>43578</v>
      </c>
      <c r="C998" s="1" t="n">
        <v>45586</v>
      </c>
      <c r="D998" t="inlineStr">
        <is>
          <t>VÄSTRA GÖTALANDS LÄN</t>
        </is>
      </c>
      <c r="E998" t="inlineStr">
        <is>
          <t>ULRICEHAMN</t>
        </is>
      </c>
      <c r="G998" t="n">
        <v>0.4</v>
      </c>
      <c r="H998" t="n">
        <v>0</v>
      </c>
      <c r="I998" t="n">
        <v>0</v>
      </c>
      <c r="J998" t="n">
        <v>0</v>
      </c>
      <c r="K998" t="n">
        <v>0</v>
      </c>
      <c r="L998" t="n">
        <v>0</v>
      </c>
      <c r="M998" t="n">
        <v>0</v>
      </c>
      <c r="N998" t="n">
        <v>0</v>
      </c>
      <c r="O998" t="n">
        <v>0</v>
      </c>
      <c r="P998" t="n">
        <v>0</v>
      </c>
      <c r="Q998" t="n">
        <v>0</v>
      </c>
      <c r="R998" s="2" t="inlineStr"/>
    </row>
    <row r="999" ht="15" customHeight="1">
      <c r="A999" t="inlineStr">
        <is>
          <t>A 20990-2019</t>
        </is>
      </c>
      <c r="B999" s="1" t="n">
        <v>43578</v>
      </c>
      <c r="C999" s="1" t="n">
        <v>45586</v>
      </c>
      <c r="D999" t="inlineStr">
        <is>
          <t>VÄSTRA GÖTALANDS LÄN</t>
        </is>
      </c>
      <c r="E999" t="inlineStr">
        <is>
          <t>ULRICEHAMN</t>
        </is>
      </c>
      <c r="G999" t="n">
        <v>0.5</v>
      </c>
      <c r="H999" t="n">
        <v>0</v>
      </c>
      <c r="I999" t="n">
        <v>0</v>
      </c>
      <c r="J999" t="n">
        <v>0</v>
      </c>
      <c r="K999" t="n">
        <v>0</v>
      </c>
      <c r="L999" t="n">
        <v>0</v>
      </c>
      <c r="M999" t="n">
        <v>0</v>
      </c>
      <c r="N999" t="n">
        <v>0</v>
      </c>
      <c r="O999" t="n">
        <v>0</v>
      </c>
      <c r="P999" t="n">
        <v>0</v>
      </c>
      <c r="Q999" t="n">
        <v>0</v>
      </c>
      <c r="R999" s="2" t="inlineStr"/>
    </row>
    <row r="1000" ht="15" customHeight="1">
      <c r="A1000" t="inlineStr">
        <is>
          <t>A 20977-2019</t>
        </is>
      </c>
      <c r="B1000" s="1" t="n">
        <v>43578</v>
      </c>
      <c r="C1000" s="1" t="n">
        <v>45586</v>
      </c>
      <c r="D1000" t="inlineStr">
        <is>
          <t>VÄSTRA GÖTALANDS LÄN</t>
        </is>
      </c>
      <c r="E1000" t="inlineStr">
        <is>
          <t>ALINGSÅS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21064-2019</t>
        </is>
      </c>
      <c r="B1001" s="1" t="n">
        <v>43578</v>
      </c>
      <c r="C1001" s="1" t="n">
        <v>45586</v>
      </c>
      <c r="D1001" t="inlineStr">
        <is>
          <t>VÄSTRA GÖTALANDS LÄN</t>
        </is>
      </c>
      <c r="E1001" t="inlineStr">
        <is>
          <t>TROLLHÄTTAN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21021-2019</t>
        </is>
      </c>
      <c r="B1002" s="1" t="n">
        <v>43578</v>
      </c>
      <c r="C1002" s="1" t="n">
        <v>45586</v>
      </c>
      <c r="D1002" t="inlineStr">
        <is>
          <t>VÄSTRA GÖTALANDS LÄN</t>
        </is>
      </c>
      <c r="E1002" t="inlineStr">
        <is>
          <t>HERRLJUNGA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21194-2019</t>
        </is>
      </c>
      <c r="B1003" s="1" t="n">
        <v>43579</v>
      </c>
      <c r="C1003" s="1" t="n">
        <v>45586</v>
      </c>
      <c r="D1003" t="inlineStr">
        <is>
          <t>VÄSTRA GÖTALANDS LÄN</t>
        </is>
      </c>
      <c r="E1003" t="inlineStr">
        <is>
          <t>ÅMÅL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21236-2019</t>
        </is>
      </c>
      <c r="B1004" s="1" t="n">
        <v>43579</v>
      </c>
      <c r="C1004" s="1" t="n">
        <v>45586</v>
      </c>
      <c r="D1004" t="inlineStr">
        <is>
          <t>VÄSTRA GÖTALANDS LÄN</t>
        </is>
      </c>
      <c r="E1004" t="inlineStr">
        <is>
          <t>MARK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21130-2019</t>
        </is>
      </c>
      <c r="B1005" s="1" t="n">
        <v>43579</v>
      </c>
      <c r="C1005" s="1" t="n">
        <v>45586</v>
      </c>
      <c r="D1005" t="inlineStr">
        <is>
          <t>VÄSTRA GÖTALANDS LÄN</t>
        </is>
      </c>
      <c r="E1005" t="inlineStr">
        <is>
          <t>MELLERUD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21160-2019</t>
        </is>
      </c>
      <c r="B1006" s="1" t="n">
        <v>43579</v>
      </c>
      <c r="C1006" s="1" t="n">
        <v>45586</v>
      </c>
      <c r="D1006" t="inlineStr">
        <is>
          <t>VÄSTRA GÖTALANDS LÄN</t>
        </is>
      </c>
      <c r="E1006" t="inlineStr">
        <is>
          <t>FÄRGELANDA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21178-2019</t>
        </is>
      </c>
      <c r="B1007" s="1" t="n">
        <v>43579</v>
      </c>
      <c r="C1007" s="1" t="n">
        <v>45586</v>
      </c>
      <c r="D1007" t="inlineStr">
        <is>
          <t>VÄSTRA GÖTALANDS LÄN</t>
        </is>
      </c>
      <c r="E1007" t="inlineStr">
        <is>
          <t>LILLA EDET</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21359-2019</t>
        </is>
      </c>
      <c r="B1008" s="1" t="n">
        <v>43579</v>
      </c>
      <c r="C1008" s="1" t="n">
        <v>45586</v>
      </c>
      <c r="D1008" t="inlineStr">
        <is>
          <t>VÄSTRA GÖTALANDS LÄN</t>
        </is>
      </c>
      <c r="E1008" t="inlineStr">
        <is>
          <t>TÖREBODA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21262-2019</t>
        </is>
      </c>
      <c r="B1009" s="1" t="n">
        <v>43579</v>
      </c>
      <c r="C1009" s="1" t="n">
        <v>45586</v>
      </c>
      <c r="D1009" t="inlineStr">
        <is>
          <t>VÄSTRA GÖTALANDS LÄN</t>
        </is>
      </c>
      <c r="E1009" t="inlineStr">
        <is>
          <t>TIDAHOLM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21357-2019</t>
        </is>
      </c>
      <c r="B1010" s="1" t="n">
        <v>43579</v>
      </c>
      <c r="C1010" s="1" t="n">
        <v>45586</v>
      </c>
      <c r="D1010" t="inlineStr">
        <is>
          <t>VÄSTRA GÖTALANDS LÄN</t>
        </is>
      </c>
      <c r="E1010" t="inlineStr">
        <is>
          <t>FALKÖPING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21306-2019</t>
        </is>
      </c>
      <c r="B1011" s="1" t="n">
        <v>43579</v>
      </c>
      <c r="C1011" s="1" t="n">
        <v>45586</v>
      </c>
      <c r="D1011" t="inlineStr">
        <is>
          <t>VÄSTRA GÖTALANDS LÄN</t>
        </is>
      </c>
      <c r="E1011" t="inlineStr">
        <is>
          <t>BENGTSFORS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21267-2019</t>
        </is>
      </c>
      <c r="B1012" s="1" t="n">
        <v>43579</v>
      </c>
      <c r="C1012" s="1" t="n">
        <v>45586</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21230-2019</t>
        </is>
      </c>
      <c r="B1013" s="1" t="n">
        <v>43579</v>
      </c>
      <c r="C1013" s="1" t="n">
        <v>45586</v>
      </c>
      <c r="D1013" t="inlineStr">
        <is>
          <t>VÄSTRA GÖTALANDS LÄN</t>
        </is>
      </c>
      <c r="E1013" t="inlineStr">
        <is>
          <t>MARK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21126-2019</t>
        </is>
      </c>
      <c r="B1014" s="1" t="n">
        <v>43579</v>
      </c>
      <c r="C1014" s="1" t="n">
        <v>45586</v>
      </c>
      <c r="D1014" t="inlineStr">
        <is>
          <t>VÄSTRA GÖTALANDS LÄN</t>
        </is>
      </c>
      <c r="E1014" t="inlineStr">
        <is>
          <t>BENGTSFORS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21429-2019</t>
        </is>
      </c>
      <c r="B1015" s="1" t="n">
        <v>43580</v>
      </c>
      <c r="C1015" s="1" t="n">
        <v>45586</v>
      </c>
      <c r="D1015" t="inlineStr">
        <is>
          <t>VÄSTRA GÖTALANDS LÄN</t>
        </is>
      </c>
      <c r="E1015" t="inlineStr">
        <is>
          <t>BORÅS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21587-2019</t>
        </is>
      </c>
      <c r="B1016" s="1" t="n">
        <v>43580</v>
      </c>
      <c r="C1016" s="1" t="n">
        <v>45586</v>
      </c>
      <c r="D1016" t="inlineStr">
        <is>
          <t>VÄSTRA GÖTALANDS LÄN</t>
        </is>
      </c>
      <c r="E1016" t="inlineStr">
        <is>
          <t>GÖTENE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21412-2019</t>
        </is>
      </c>
      <c r="B1017" s="1" t="n">
        <v>43580</v>
      </c>
      <c r="C1017" s="1" t="n">
        <v>45586</v>
      </c>
      <c r="D1017" t="inlineStr">
        <is>
          <t>VÄSTRA GÖTALANDS LÄN</t>
        </is>
      </c>
      <c r="E1017" t="inlineStr">
        <is>
          <t>TANUM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21749-2019</t>
        </is>
      </c>
      <c r="B1018" s="1" t="n">
        <v>43581</v>
      </c>
      <c r="C1018" s="1" t="n">
        <v>45586</v>
      </c>
      <c r="D1018" t="inlineStr">
        <is>
          <t>VÄSTRA GÖTALANDS LÄN</t>
        </is>
      </c>
      <c r="E1018" t="inlineStr">
        <is>
          <t>BORÅS</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21641-2019</t>
        </is>
      </c>
      <c r="B1019" s="1" t="n">
        <v>43581</v>
      </c>
      <c r="C1019" s="1" t="n">
        <v>45586</v>
      </c>
      <c r="D1019" t="inlineStr">
        <is>
          <t>VÄSTRA GÖTALANDS LÄN</t>
        </is>
      </c>
      <c r="E1019" t="inlineStr">
        <is>
          <t>GULLSPÅNG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21673-2019</t>
        </is>
      </c>
      <c r="B1020" s="1" t="n">
        <v>43581</v>
      </c>
      <c r="C1020" s="1" t="n">
        <v>45586</v>
      </c>
      <c r="D1020" t="inlineStr">
        <is>
          <t>VÄSTRA GÖTALANDS LÄN</t>
        </is>
      </c>
      <c r="E1020" t="inlineStr">
        <is>
          <t>HERRLJUNGA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21621-2019</t>
        </is>
      </c>
      <c r="B1021" s="1" t="n">
        <v>43581</v>
      </c>
      <c r="C1021" s="1" t="n">
        <v>45586</v>
      </c>
      <c r="D1021" t="inlineStr">
        <is>
          <t>VÄSTRA GÖTALANDS LÄN</t>
        </is>
      </c>
      <c r="E1021" t="inlineStr">
        <is>
          <t>ULRICEHAMN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21845-2019</t>
        </is>
      </c>
      <c r="B1022" s="1" t="n">
        <v>43584</v>
      </c>
      <c r="C1022" s="1" t="n">
        <v>45586</v>
      </c>
      <c r="D1022" t="inlineStr">
        <is>
          <t>VÄSTRA GÖTALANDS LÄN</t>
        </is>
      </c>
      <c r="E1022" t="inlineStr">
        <is>
          <t>KARLSBORG</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21902-2019</t>
        </is>
      </c>
      <c r="B1023" s="1" t="n">
        <v>43584</v>
      </c>
      <c r="C1023" s="1" t="n">
        <v>45586</v>
      </c>
      <c r="D1023" t="inlineStr">
        <is>
          <t>VÄSTRA GÖTALANDS LÄN</t>
        </is>
      </c>
      <c r="E1023" t="inlineStr">
        <is>
          <t>ALINGSÅS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21866-2019</t>
        </is>
      </c>
      <c r="B1024" s="1" t="n">
        <v>43584</v>
      </c>
      <c r="C1024" s="1" t="n">
        <v>45586</v>
      </c>
      <c r="D1024" t="inlineStr">
        <is>
          <t>VÄSTRA GÖTALANDS LÄN</t>
        </is>
      </c>
      <c r="E1024" t="inlineStr">
        <is>
          <t>TANUM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21910-2019</t>
        </is>
      </c>
      <c r="B1025" s="1" t="n">
        <v>43584</v>
      </c>
      <c r="C1025" s="1" t="n">
        <v>45586</v>
      </c>
      <c r="D1025" t="inlineStr">
        <is>
          <t>VÄSTRA GÖTALANDS LÄN</t>
        </is>
      </c>
      <c r="E1025" t="inlineStr">
        <is>
          <t>ÅMÅL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21885-2019</t>
        </is>
      </c>
      <c r="B1026" s="1" t="n">
        <v>43584</v>
      </c>
      <c r="C1026" s="1" t="n">
        <v>45586</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21992-2019</t>
        </is>
      </c>
      <c r="B1027" s="1" t="n">
        <v>43584</v>
      </c>
      <c r="C1027" s="1" t="n">
        <v>45586</v>
      </c>
      <c r="D1027" t="inlineStr">
        <is>
          <t>VÄSTRA GÖTALANDS LÄN</t>
        </is>
      </c>
      <c r="E1027" t="inlineStr">
        <is>
          <t>TRANEMO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22080-2019</t>
        </is>
      </c>
      <c r="B1028" s="1" t="n">
        <v>43584</v>
      </c>
      <c r="C1028" s="1" t="n">
        <v>45586</v>
      </c>
      <c r="D1028" t="inlineStr">
        <is>
          <t>VÄSTRA GÖTALANDS LÄN</t>
        </is>
      </c>
      <c r="E1028" t="inlineStr">
        <is>
          <t>TANUM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22015-2019</t>
        </is>
      </c>
      <c r="B1029" s="1" t="n">
        <v>43584</v>
      </c>
      <c r="C1029" s="1" t="n">
        <v>45586</v>
      </c>
      <c r="D1029" t="inlineStr">
        <is>
          <t>VÄSTRA GÖTALANDS LÄN</t>
        </is>
      </c>
      <c r="E1029" t="inlineStr">
        <is>
          <t>ALE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22110-2019</t>
        </is>
      </c>
      <c r="B1030" s="1" t="n">
        <v>43585</v>
      </c>
      <c r="C1030" s="1" t="n">
        <v>45586</v>
      </c>
      <c r="D1030" t="inlineStr">
        <is>
          <t>VÄSTRA GÖTALANDS LÄN</t>
        </is>
      </c>
      <c r="E1030" t="inlineStr">
        <is>
          <t>SVENLJUNGA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22225-2019</t>
        </is>
      </c>
      <c r="B1031" s="1" t="n">
        <v>43585</v>
      </c>
      <c r="C1031" s="1" t="n">
        <v>45586</v>
      </c>
      <c r="D1031" t="inlineStr">
        <is>
          <t>VÄSTRA GÖTALANDS LÄN</t>
        </is>
      </c>
      <c r="E1031" t="inlineStr">
        <is>
          <t>MARIESTAD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22182-2019</t>
        </is>
      </c>
      <c r="B1032" s="1" t="n">
        <v>43585</v>
      </c>
      <c r="C1032" s="1" t="n">
        <v>45586</v>
      </c>
      <c r="D1032" t="inlineStr">
        <is>
          <t>VÄSTRA GÖTALANDS LÄN</t>
        </is>
      </c>
      <c r="E1032" t="inlineStr">
        <is>
          <t>BORÅS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22209-2019</t>
        </is>
      </c>
      <c r="B1033" s="1" t="n">
        <v>43585</v>
      </c>
      <c r="C1033" s="1" t="n">
        <v>45586</v>
      </c>
      <c r="D1033" t="inlineStr">
        <is>
          <t>VÄSTRA GÖTALANDS LÄN</t>
        </is>
      </c>
      <c r="E1033" t="inlineStr">
        <is>
          <t>ULRICEHAMN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22337-2019</t>
        </is>
      </c>
      <c r="B1034" s="1" t="n">
        <v>43586</v>
      </c>
      <c r="C1034" s="1" t="n">
        <v>45586</v>
      </c>
      <c r="D1034" t="inlineStr">
        <is>
          <t>VÄSTRA GÖTALANDS LÄN</t>
        </is>
      </c>
      <c r="E1034" t="inlineStr">
        <is>
          <t>HJO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22321-2019</t>
        </is>
      </c>
      <c r="B1035" s="1" t="n">
        <v>43586</v>
      </c>
      <c r="C1035" s="1" t="n">
        <v>45586</v>
      </c>
      <c r="D1035" t="inlineStr">
        <is>
          <t>VÄSTRA GÖTALANDS LÄN</t>
        </is>
      </c>
      <c r="E1035" t="inlineStr">
        <is>
          <t>LILLA EDET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22336-2019</t>
        </is>
      </c>
      <c r="B1036" s="1" t="n">
        <v>43586</v>
      </c>
      <c r="C1036" s="1" t="n">
        <v>45586</v>
      </c>
      <c r="D1036" t="inlineStr">
        <is>
          <t>VÄSTRA GÖTALANDS LÄN</t>
        </is>
      </c>
      <c r="E1036" t="inlineStr">
        <is>
          <t>HJO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22335-2019</t>
        </is>
      </c>
      <c r="B1037" s="1" t="n">
        <v>43586</v>
      </c>
      <c r="C1037" s="1" t="n">
        <v>45586</v>
      </c>
      <c r="D1037" t="inlineStr">
        <is>
          <t>VÄSTRA GÖTALANDS LÄN</t>
        </is>
      </c>
      <c r="E1037" t="inlineStr">
        <is>
          <t>HJO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22338-2019</t>
        </is>
      </c>
      <c r="B1038" s="1" t="n">
        <v>43586</v>
      </c>
      <c r="C1038" s="1" t="n">
        <v>45586</v>
      </c>
      <c r="D1038" t="inlineStr">
        <is>
          <t>VÄSTRA GÖTALANDS LÄN</t>
        </is>
      </c>
      <c r="E1038" t="inlineStr">
        <is>
          <t>HJO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22334-2019</t>
        </is>
      </c>
      <c r="B1039" s="1" t="n">
        <v>43586</v>
      </c>
      <c r="C1039" s="1" t="n">
        <v>45586</v>
      </c>
      <c r="D1039" t="inlineStr">
        <is>
          <t>VÄSTRA GÖTALANDS LÄN</t>
        </is>
      </c>
      <c r="E1039" t="inlineStr">
        <is>
          <t>HJO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22550-2019</t>
        </is>
      </c>
      <c r="B1040" s="1" t="n">
        <v>43587</v>
      </c>
      <c r="C1040" s="1" t="n">
        <v>45586</v>
      </c>
      <c r="D1040" t="inlineStr">
        <is>
          <t>VÄSTRA GÖTALANDS LÄN</t>
        </is>
      </c>
      <c r="E1040" t="inlineStr">
        <is>
          <t>BENGTSFORS</t>
        </is>
      </c>
      <c r="F1040" t="inlineStr">
        <is>
          <t>Kyrkan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22554-2019</t>
        </is>
      </c>
      <c r="B1041" s="1" t="n">
        <v>43587</v>
      </c>
      <c r="C1041" s="1" t="n">
        <v>45586</v>
      </c>
      <c r="D1041" t="inlineStr">
        <is>
          <t>VÄSTRA GÖTALANDS LÄN</t>
        </is>
      </c>
      <c r="E1041" t="inlineStr">
        <is>
          <t>DALS-ED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23597-2019</t>
        </is>
      </c>
      <c r="B1042" s="1" t="n">
        <v>43587</v>
      </c>
      <c r="C1042" s="1" t="n">
        <v>45586</v>
      </c>
      <c r="D1042" t="inlineStr">
        <is>
          <t>VÄSTRA GÖTALANDS LÄN</t>
        </is>
      </c>
      <c r="E1042" t="inlineStr">
        <is>
          <t>DALS-ED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22566-2019</t>
        </is>
      </c>
      <c r="B1043" s="1" t="n">
        <v>43587</v>
      </c>
      <c r="C1043" s="1" t="n">
        <v>45586</v>
      </c>
      <c r="D1043" t="inlineStr">
        <is>
          <t>VÄSTRA GÖTALANDS LÄN</t>
        </is>
      </c>
      <c r="E1043" t="inlineStr">
        <is>
          <t>VARA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23634-2019</t>
        </is>
      </c>
      <c r="B1044" s="1" t="n">
        <v>43587</v>
      </c>
      <c r="C1044" s="1" t="n">
        <v>45586</v>
      </c>
      <c r="D1044" t="inlineStr">
        <is>
          <t>VÄSTRA GÖTALANDS LÄN</t>
        </is>
      </c>
      <c r="E1044" t="inlineStr">
        <is>
          <t>DALS-ED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22527-2019</t>
        </is>
      </c>
      <c r="B1045" s="1" t="n">
        <v>43587</v>
      </c>
      <c r="C1045" s="1" t="n">
        <v>45586</v>
      </c>
      <c r="D1045" t="inlineStr">
        <is>
          <t>VÄSTRA GÖTALANDS LÄN</t>
        </is>
      </c>
      <c r="E1045" t="inlineStr">
        <is>
          <t>VARA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22667-2019</t>
        </is>
      </c>
      <c r="B1046" s="1" t="n">
        <v>43587</v>
      </c>
      <c r="C1046" s="1" t="n">
        <v>45586</v>
      </c>
      <c r="D1046" t="inlineStr">
        <is>
          <t>VÄSTRA GÖTALANDS LÄN</t>
        </is>
      </c>
      <c r="E1046" t="inlineStr">
        <is>
          <t>DALS-ED</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23623-2019</t>
        </is>
      </c>
      <c r="B1047" s="1" t="n">
        <v>43587</v>
      </c>
      <c r="C1047" s="1" t="n">
        <v>45586</v>
      </c>
      <c r="D1047" t="inlineStr">
        <is>
          <t>VÄSTRA GÖTALANDS LÄN</t>
        </is>
      </c>
      <c r="E1047" t="inlineStr">
        <is>
          <t>DALS-ED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22530-2019</t>
        </is>
      </c>
      <c r="B1048" s="1" t="n">
        <v>43587</v>
      </c>
      <c r="C1048" s="1" t="n">
        <v>45586</v>
      </c>
      <c r="D1048" t="inlineStr">
        <is>
          <t>VÄSTRA GÖTALANDS LÄN</t>
        </is>
      </c>
      <c r="E1048" t="inlineStr">
        <is>
          <t>HÄRRYDA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22409-2019</t>
        </is>
      </c>
      <c r="B1049" s="1" t="n">
        <v>43587</v>
      </c>
      <c r="C1049" s="1" t="n">
        <v>45586</v>
      </c>
      <c r="D1049" t="inlineStr">
        <is>
          <t>VÄSTRA GÖTALANDS LÄN</t>
        </is>
      </c>
      <c r="E1049" t="inlineStr">
        <is>
          <t>BOLLEBYGD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22662-2019</t>
        </is>
      </c>
      <c r="B1050" s="1" t="n">
        <v>43587</v>
      </c>
      <c r="C1050" s="1" t="n">
        <v>45586</v>
      </c>
      <c r="D1050" t="inlineStr">
        <is>
          <t>VÄSTRA GÖTALANDS LÄN</t>
        </is>
      </c>
      <c r="E1050" t="inlineStr">
        <is>
          <t>DALS-ED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22741-2019</t>
        </is>
      </c>
      <c r="B1051" s="1" t="n">
        <v>43588</v>
      </c>
      <c r="C1051" s="1" t="n">
        <v>45586</v>
      </c>
      <c r="D1051" t="inlineStr">
        <is>
          <t>VÄSTRA GÖTALANDS LÄN</t>
        </is>
      </c>
      <c r="E1051" t="inlineStr">
        <is>
          <t>SKARA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22768-2019</t>
        </is>
      </c>
      <c r="B1052" s="1" t="n">
        <v>43588</v>
      </c>
      <c r="C1052" s="1" t="n">
        <v>45586</v>
      </c>
      <c r="D1052" t="inlineStr">
        <is>
          <t>VÄSTRA GÖTALANDS LÄN</t>
        </is>
      </c>
      <c r="E1052" t="inlineStr">
        <is>
          <t>MUNKEDAL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22715-2019</t>
        </is>
      </c>
      <c r="B1053" s="1" t="n">
        <v>43588</v>
      </c>
      <c r="C1053" s="1" t="n">
        <v>45586</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22706-2019</t>
        </is>
      </c>
      <c r="B1054" s="1" t="n">
        <v>43588</v>
      </c>
      <c r="C1054" s="1" t="n">
        <v>45586</v>
      </c>
      <c r="D1054" t="inlineStr">
        <is>
          <t>VÄSTRA GÖTALANDS LÄN</t>
        </is>
      </c>
      <c r="E1054" t="inlineStr">
        <is>
          <t>MUNKEDAL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22751-2019</t>
        </is>
      </c>
      <c r="B1055" s="1" t="n">
        <v>43588</v>
      </c>
      <c r="C1055" s="1" t="n">
        <v>45586</v>
      </c>
      <c r="D1055" t="inlineStr">
        <is>
          <t>VÄSTRA GÖTALANDS LÄN</t>
        </is>
      </c>
      <c r="E1055" t="inlineStr">
        <is>
          <t>ULRICEHAMN</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22784-2019</t>
        </is>
      </c>
      <c r="B1056" s="1" t="n">
        <v>43589</v>
      </c>
      <c r="C1056" s="1" t="n">
        <v>45586</v>
      </c>
      <c r="D1056" t="inlineStr">
        <is>
          <t>VÄSTRA GÖTALANDS LÄN</t>
        </is>
      </c>
      <c r="E1056" t="inlineStr">
        <is>
          <t>KARLSBORG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22973-2019</t>
        </is>
      </c>
      <c r="B1057" s="1" t="n">
        <v>43589</v>
      </c>
      <c r="C1057" s="1" t="n">
        <v>45586</v>
      </c>
      <c r="D1057" t="inlineStr">
        <is>
          <t>VÄSTRA GÖTALANDS LÄN</t>
        </is>
      </c>
      <c r="E1057" t="inlineStr">
        <is>
          <t>GULLSPÅNG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22786-2019</t>
        </is>
      </c>
      <c r="B1058" s="1" t="n">
        <v>43589</v>
      </c>
      <c r="C1058" s="1" t="n">
        <v>45586</v>
      </c>
      <c r="D1058" t="inlineStr">
        <is>
          <t>VÄSTRA GÖTALANDS LÄN</t>
        </is>
      </c>
      <c r="E1058" t="inlineStr">
        <is>
          <t>KARLSBORG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22860-2019</t>
        </is>
      </c>
      <c r="B1059" s="1" t="n">
        <v>43591</v>
      </c>
      <c r="C1059" s="1" t="n">
        <v>45586</v>
      </c>
      <c r="D1059" t="inlineStr">
        <is>
          <t>VÄSTRA GÖTALANDS LÄN</t>
        </is>
      </c>
      <c r="E1059" t="inlineStr">
        <is>
          <t>HÄRRYDA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22967-2019</t>
        </is>
      </c>
      <c r="B1060" s="1" t="n">
        <v>43591</v>
      </c>
      <c r="C1060" s="1" t="n">
        <v>45586</v>
      </c>
      <c r="D1060" t="inlineStr">
        <is>
          <t>VÄSTRA GÖTALANDS LÄN</t>
        </is>
      </c>
      <c r="E1060" t="inlineStr">
        <is>
          <t>UDDEVALLA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22956-2019</t>
        </is>
      </c>
      <c r="B1061" s="1" t="n">
        <v>43591</v>
      </c>
      <c r="C1061" s="1" t="n">
        <v>45586</v>
      </c>
      <c r="D1061" t="inlineStr">
        <is>
          <t>VÄSTRA GÖTALANDS LÄN</t>
        </is>
      </c>
      <c r="E1061" t="inlineStr">
        <is>
          <t>HERRLJUNGA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23030-2019</t>
        </is>
      </c>
      <c r="B1062" s="1" t="n">
        <v>43591</v>
      </c>
      <c r="C1062" s="1" t="n">
        <v>45586</v>
      </c>
      <c r="D1062" t="inlineStr">
        <is>
          <t>VÄSTRA GÖTALANDS LÄN</t>
        </is>
      </c>
      <c r="E1062" t="inlineStr">
        <is>
          <t>STRÖMSTAD</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23028-2019</t>
        </is>
      </c>
      <c r="B1063" s="1" t="n">
        <v>43591</v>
      </c>
      <c r="C1063" s="1" t="n">
        <v>45586</v>
      </c>
      <c r="D1063" t="inlineStr">
        <is>
          <t>VÄSTRA GÖTALANDS LÄN</t>
        </is>
      </c>
      <c r="E1063" t="inlineStr">
        <is>
          <t>STRÖMSTAD</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22984-2019</t>
        </is>
      </c>
      <c r="B1064" s="1" t="n">
        <v>43591</v>
      </c>
      <c r="C1064" s="1" t="n">
        <v>45586</v>
      </c>
      <c r="D1064" t="inlineStr">
        <is>
          <t>VÄSTRA GÖTALANDS LÄN</t>
        </is>
      </c>
      <c r="E1064" t="inlineStr">
        <is>
          <t>UDDEVALLA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22951-2019</t>
        </is>
      </c>
      <c r="B1065" s="1" t="n">
        <v>43591</v>
      </c>
      <c r="C1065" s="1" t="n">
        <v>45586</v>
      </c>
      <c r="D1065" t="inlineStr">
        <is>
          <t>VÄSTRA GÖTALANDS LÄN</t>
        </is>
      </c>
      <c r="E1065" t="inlineStr">
        <is>
          <t>BOLLEBYGD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23054-2019</t>
        </is>
      </c>
      <c r="B1066" s="1" t="n">
        <v>43591</v>
      </c>
      <c r="C1066" s="1" t="n">
        <v>45586</v>
      </c>
      <c r="D1066" t="inlineStr">
        <is>
          <t>VÄSTRA GÖTALANDS LÄN</t>
        </is>
      </c>
      <c r="E1066" t="inlineStr">
        <is>
          <t>SVENLJUNGA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22981-2019</t>
        </is>
      </c>
      <c r="B1067" s="1" t="n">
        <v>43591</v>
      </c>
      <c r="C1067" s="1" t="n">
        <v>45586</v>
      </c>
      <c r="D1067" t="inlineStr">
        <is>
          <t>VÄSTRA GÖTALANDS LÄN</t>
        </is>
      </c>
      <c r="E1067" t="inlineStr">
        <is>
          <t>MARIESTAD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22930-2019</t>
        </is>
      </c>
      <c r="B1068" s="1" t="n">
        <v>43591</v>
      </c>
      <c r="C1068" s="1" t="n">
        <v>45586</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22851-2019</t>
        </is>
      </c>
      <c r="B1069" s="1" t="n">
        <v>43591</v>
      </c>
      <c r="C1069" s="1" t="n">
        <v>45586</v>
      </c>
      <c r="D1069" t="inlineStr">
        <is>
          <t>VÄSTRA GÖTALANDS LÄN</t>
        </is>
      </c>
      <c r="E1069" t="inlineStr">
        <is>
          <t>DALS-ED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23115-2019</t>
        </is>
      </c>
      <c r="B1070" s="1" t="n">
        <v>43592</v>
      </c>
      <c r="C1070" s="1" t="n">
        <v>45586</v>
      </c>
      <c r="D1070" t="inlineStr">
        <is>
          <t>VÄSTRA GÖTALANDS LÄN</t>
        </is>
      </c>
      <c r="E1070" t="inlineStr">
        <is>
          <t>SVENLJUNGA</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23143-2019</t>
        </is>
      </c>
      <c r="B1071" s="1" t="n">
        <v>43592</v>
      </c>
      <c r="C1071" s="1" t="n">
        <v>45586</v>
      </c>
      <c r="D1071" t="inlineStr">
        <is>
          <t>VÄSTRA GÖTALANDS LÄN</t>
        </is>
      </c>
      <c r="E1071" t="inlineStr">
        <is>
          <t>FALKÖPING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23197-2019</t>
        </is>
      </c>
      <c r="B1072" s="1" t="n">
        <v>43592</v>
      </c>
      <c r="C1072" s="1" t="n">
        <v>45586</v>
      </c>
      <c r="D1072" t="inlineStr">
        <is>
          <t>VÄSTRA GÖTALANDS LÄN</t>
        </is>
      </c>
      <c r="E1072" t="inlineStr">
        <is>
          <t>BENGTSFORS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23148-2019</t>
        </is>
      </c>
      <c r="B1073" s="1" t="n">
        <v>43592</v>
      </c>
      <c r="C1073" s="1" t="n">
        <v>45586</v>
      </c>
      <c r="D1073" t="inlineStr">
        <is>
          <t>VÄSTRA GÖTALANDS LÄN</t>
        </is>
      </c>
      <c r="E1073" t="inlineStr">
        <is>
          <t>MARK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23185-2019</t>
        </is>
      </c>
      <c r="B1074" s="1" t="n">
        <v>43592</v>
      </c>
      <c r="C1074" s="1" t="n">
        <v>45586</v>
      </c>
      <c r="D1074" t="inlineStr">
        <is>
          <t>VÄSTRA GÖTALANDS LÄN</t>
        </is>
      </c>
      <c r="E1074" t="inlineStr">
        <is>
          <t>TIDAHOLM</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23223-2019</t>
        </is>
      </c>
      <c r="B1075" s="1" t="n">
        <v>43592</v>
      </c>
      <c r="C1075" s="1" t="n">
        <v>45586</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23220-2019</t>
        </is>
      </c>
      <c r="B1076" s="1" t="n">
        <v>43592</v>
      </c>
      <c r="C1076" s="1" t="n">
        <v>45586</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23190-2019</t>
        </is>
      </c>
      <c r="B1077" s="1" t="n">
        <v>43592</v>
      </c>
      <c r="C1077" s="1" t="n">
        <v>45586</v>
      </c>
      <c r="D1077" t="inlineStr">
        <is>
          <t>VÄSTRA GÖTALANDS LÄN</t>
        </is>
      </c>
      <c r="E1077" t="inlineStr">
        <is>
          <t>MARIESTAD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23411-2019</t>
        </is>
      </c>
      <c r="B1078" s="1" t="n">
        <v>43592</v>
      </c>
      <c r="C1078" s="1" t="n">
        <v>45586</v>
      </c>
      <c r="D1078" t="inlineStr">
        <is>
          <t>VÄSTRA GÖTALANDS LÄN</t>
        </is>
      </c>
      <c r="E1078" t="inlineStr">
        <is>
          <t>ULRICEHAMN</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23110-2019</t>
        </is>
      </c>
      <c r="B1079" s="1" t="n">
        <v>43592</v>
      </c>
      <c r="C1079" s="1" t="n">
        <v>45586</v>
      </c>
      <c r="D1079" t="inlineStr">
        <is>
          <t>VÄSTRA GÖTALANDS LÄN</t>
        </is>
      </c>
      <c r="E1079" t="inlineStr">
        <is>
          <t>TRANEMO</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23094-2019</t>
        </is>
      </c>
      <c r="B1080" s="1" t="n">
        <v>43592</v>
      </c>
      <c r="C1080" s="1" t="n">
        <v>45586</v>
      </c>
      <c r="D1080" t="inlineStr">
        <is>
          <t>VÄSTRA GÖTALANDS LÄN</t>
        </is>
      </c>
      <c r="E1080" t="inlineStr">
        <is>
          <t>SKÖVDE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23401-2019</t>
        </is>
      </c>
      <c r="B1081" s="1" t="n">
        <v>43593</v>
      </c>
      <c r="C1081" s="1" t="n">
        <v>45586</v>
      </c>
      <c r="D1081" t="inlineStr">
        <is>
          <t>VÄSTRA GÖTALANDS LÄN</t>
        </is>
      </c>
      <c r="E1081" t="inlineStr">
        <is>
          <t>MARIESTAD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23413-2019</t>
        </is>
      </c>
      <c r="B1082" s="1" t="n">
        <v>43593</v>
      </c>
      <c r="C1082" s="1" t="n">
        <v>45586</v>
      </c>
      <c r="D1082" t="inlineStr">
        <is>
          <t>VÄSTRA GÖTALANDS LÄN</t>
        </is>
      </c>
      <c r="E1082" t="inlineStr">
        <is>
          <t>MARIESTAD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23320-2019</t>
        </is>
      </c>
      <c r="B1083" s="1" t="n">
        <v>43593</v>
      </c>
      <c r="C1083" s="1" t="n">
        <v>45586</v>
      </c>
      <c r="D1083" t="inlineStr">
        <is>
          <t>VÄSTRA GÖTALANDS LÄN</t>
        </is>
      </c>
      <c r="E1083" t="inlineStr">
        <is>
          <t>HERRLJUNGA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23404-2019</t>
        </is>
      </c>
      <c r="B1084" s="1" t="n">
        <v>43593</v>
      </c>
      <c r="C1084" s="1" t="n">
        <v>45586</v>
      </c>
      <c r="D1084" t="inlineStr">
        <is>
          <t>VÄSTRA GÖTALANDS LÄN</t>
        </is>
      </c>
      <c r="E1084" t="inlineStr">
        <is>
          <t>MARIESTAD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23452-2019</t>
        </is>
      </c>
      <c r="B1085" s="1" t="n">
        <v>43593</v>
      </c>
      <c r="C1085" s="1" t="n">
        <v>45586</v>
      </c>
      <c r="D1085" t="inlineStr">
        <is>
          <t>VÄSTRA GÖTALANDS LÄN</t>
        </is>
      </c>
      <c r="E1085" t="inlineStr">
        <is>
          <t>BENGTSFORS</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23408-2019</t>
        </is>
      </c>
      <c r="B1086" s="1" t="n">
        <v>43593</v>
      </c>
      <c r="C1086" s="1" t="n">
        <v>45586</v>
      </c>
      <c r="D1086" t="inlineStr">
        <is>
          <t>VÄSTRA GÖTALANDS LÄN</t>
        </is>
      </c>
      <c r="E1086" t="inlineStr">
        <is>
          <t>HÄRRYDA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23383-2019</t>
        </is>
      </c>
      <c r="B1087" s="1" t="n">
        <v>43593</v>
      </c>
      <c r="C1087" s="1" t="n">
        <v>45586</v>
      </c>
      <c r="D1087" t="inlineStr">
        <is>
          <t>VÄSTRA GÖTALANDS LÄN</t>
        </is>
      </c>
      <c r="E1087" t="inlineStr">
        <is>
          <t>LIDKÖPING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23442-2019</t>
        </is>
      </c>
      <c r="B1088" s="1" t="n">
        <v>43593</v>
      </c>
      <c r="C1088" s="1" t="n">
        <v>45586</v>
      </c>
      <c r="D1088" t="inlineStr">
        <is>
          <t>VÄSTRA GÖTALANDS LÄN</t>
        </is>
      </c>
      <c r="E1088" t="inlineStr">
        <is>
          <t>VÅRGÅRDA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23708-2019</t>
        </is>
      </c>
      <c r="B1089" s="1" t="n">
        <v>43594</v>
      </c>
      <c r="C1089" s="1" t="n">
        <v>45586</v>
      </c>
      <c r="D1089" t="inlineStr">
        <is>
          <t>VÄSTRA GÖTALANDS LÄN</t>
        </is>
      </c>
      <c r="E1089" t="inlineStr">
        <is>
          <t>TRANEMO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23707-2019</t>
        </is>
      </c>
      <c r="B1090" s="1" t="n">
        <v>43594</v>
      </c>
      <c r="C1090" s="1" t="n">
        <v>45586</v>
      </c>
      <c r="D1090" t="inlineStr">
        <is>
          <t>VÄSTRA GÖTALANDS LÄN</t>
        </is>
      </c>
      <c r="E1090" t="inlineStr">
        <is>
          <t>TRANEMO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23527-2019</t>
        </is>
      </c>
      <c r="B1091" s="1" t="n">
        <v>43594</v>
      </c>
      <c r="C1091" s="1" t="n">
        <v>45586</v>
      </c>
      <c r="D1091" t="inlineStr">
        <is>
          <t>VÄSTRA GÖTALANDS LÄN</t>
        </is>
      </c>
      <c r="E1091" t="inlineStr">
        <is>
          <t>BOLLEBYGD</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23632-2019</t>
        </is>
      </c>
      <c r="B1092" s="1" t="n">
        <v>43594</v>
      </c>
      <c r="C1092" s="1" t="n">
        <v>45586</v>
      </c>
      <c r="D1092" t="inlineStr">
        <is>
          <t>VÄSTRA GÖTALANDS LÄN</t>
        </is>
      </c>
      <c r="E1092" t="inlineStr">
        <is>
          <t>TIDAHOLM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23490-2019</t>
        </is>
      </c>
      <c r="B1093" s="1" t="n">
        <v>43594</v>
      </c>
      <c r="C1093" s="1" t="n">
        <v>45586</v>
      </c>
      <c r="D1093" t="inlineStr">
        <is>
          <t>VÄSTRA GÖTALANDS LÄN</t>
        </is>
      </c>
      <c r="E1093" t="inlineStr">
        <is>
          <t>ULRICEHAMN</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23637-2019</t>
        </is>
      </c>
      <c r="B1094" s="1" t="n">
        <v>43594</v>
      </c>
      <c r="C1094" s="1" t="n">
        <v>45586</v>
      </c>
      <c r="D1094" t="inlineStr">
        <is>
          <t>VÄSTRA GÖTALANDS LÄN</t>
        </is>
      </c>
      <c r="E1094" t="inlineStr">
        <is>
          <t>TIDAHOLM</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23526-2019</t>
        </is>
      </c>
      <c r="B1095" s="1" t="n">
        <v>43594</v>
      </c>
      <c r="C1095" s="1" t="n">
        <v>45586</v>
      </c>
      <c r="D1095" t="inlineStr">
        <is>
          <t>VÄSTRA GÖTALANDS LÄN</t>
        </is>
      </c>
      <c r="E1095" t="inlineStr">
        <is>
          <t>BOLLEBYGD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23705-2019</t>
        </is>
      </c>
      <c r="B1096" s="1" t="n">
        <v>43594</v>
      </c>
      <c r="C1096" s="1" t="n">
        <v>45586</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23850-2019</t>
        </is>
      </c>
      <c r="B1097" s="1" t="n">
        <v>43595</v>
      </c>
      <c r="C1097" s="1" t="n">
        <v>45586</v>
      </c>
      <c r="D1097" t="inlineStr">
        <is>
          <t>VÄSTRA GÖTALANDS LÄN</t>
        </is>
      </c>
      <c r="E1097" t="inlineStr">
        <is>
          <t>STRÖMSTAD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23751-2019</t>
        </is>
      </c>
      <c r="B1098" s="1" t="n">
        <v>43595</v>
      </c>
      <c r="C1098" s="1" t="n">
        <v>45586</v>
      </c>
      <c r="D1098" t="inlineStr">
        <is>
          <t>VÄSTRA GÖTALANDS LÄN</t>
        </is>
      </c>
      <c r="E1098" t="inlineStr">
        <is>
          <t>STRÖMSTAD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23852-2019</t>
        </is>
      </c>
      <c r="B1099" s="1" t="n">
        <v>43595</v>
      </c>
      <c r="C1099" s="1" t="n">
        <v>45586</v>
      </c>
      <c r="D1099" t="inlineStr">
        <is>
          <t>VÄSTRA GÖTALANDS LÄN</t>
        </is>
      </c>
      <c r="E1099" t="inlineStr">
        <is>
          <t>FALKÖPING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23896-2019</t>
        </is>
      </c>
      <c r="B1100" s="1" t="n">
        <v>43595</v>
      </c>
      <c r="C1100" s="1" t="n">
        <v>45586</v>
      </c>
      <c r="D1100" t="inlineStr">
        <is>
          <t>VÄSTRA GÖTALANDS LÄN</t>
        </is>
      </c>
      <c r="E1100" t="inlineStr">
        <is>
          <t>FALKÖPING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23747-2019</t>
        </is>
      </c>
      <c r="B1101" s="1" t="n">
        <v>43595</v>
      </c>
      <c r="C1101" s="1" t="n">
        <v>45586</v>
      </c>
      <c r="D1101" t="inlineStr">
        <is>
          <t>VÄSTRA GÖTALANDS LÄN</t>
        </is>
      </c>
      <c r="E1101" t="inlineStr">
        <is>
          <t>STRÖMSTAD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23800-2019</t>
        </is>
      </c>
      <c r="B1102" s="1" t="n">
        <v>43595</v>
      </c>
      <c r="C1102" s="1" t="n">
        <v>45586</v>
      </c>
      <c r="D1102" t="inlineStr">
        <is>
          <t>VÄSTRA GÖTALANDS LÄN</t>
        </is>
      </c>
      <c r="E1102" t="inlineStr">
        <is>
          <t>TÖREBODA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23869-2019</t>
        </is>
      </c>
      <c r="B1103" s="1" t="n">
        <v>43595</v>
      </c>
      <c r="C1103" s="1" t="n">
        <v>45586</v>
      </c>
      <c r="D1103" t="inlineStr">
        <is>
          <t>VÄSTRA GÖTALANDS LÄN</t>
        </is>
      </c>
      <c r="E1103" t="inlineStr">
        <is>
          <t>TRANEMO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23943-2019</t>
        </is>
      </c>
      <c r="B1104" s="1" t="n">
        <v>43596</v>
      </c>
      <c r="C1104" s="1" t="n">
        <v>45586</v>
      </c>
      <c r="D1104" t="inlineStr">
        <is>
          <t>VÄSTRA GÖTALANDS LÄN</t>
        </is>
      </c>
      <c r="E1104" t="inlineStr">
        <is>
          <t>SKÖVDE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23944-2019</t>
        </is>
      </c>
      <c r="B1105" s="1" t="n">
        <v>43596</v>
      </c>
      <c r="C1105" s="1" t="n">
        <v>45586</v>
      </c>
      <c r="D1105" t="inlineStr">
        <is>
          <t>VÄSTRA GÖTALANDS LÄN</t>
        </is>
      </c>
      <c r="E1105" t="inlineStr">
        <is>
          <t>SKÖVDE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23953-2019</t>
        </is>
      </c>
      <c r="B1106" s="1" t="n">
        <v>43597</v>
      </c>
      <c r="C1106" s="1" t="n">
        <v>45586</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23955-2019</t>
        </is>
      </c>
      <c r="B1107" s="1" t="n">
        <v>43597</v>
      </c>
      <c r="C1107" s="1" t="n">
        <v>45586</v>
      </c>
      <c r="D1107" t="inlineStr">
        <is>
          <t>VÄSTRA GÖTALANDS LÄN</t>
        </is>
      </c>
      <c r="E1107" t="inlineStr">
        <is>
          <t>HERRLJUNGA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23951-2019</t>
        </is>
      </c>
      <c r="B1108" s="1" t="n">
        <v>43597</v>
      </c>
      <c r="C1108" s="1" t="n">
        <v>45586</v>
      </c>
      <c r="D1108" t="inlineStr">
        <is>
          <t>VÄSTRA GÖTALANDS LÄN</t>
        </is>
      </c>
      <c r="E1108" t="inlineStr">
        <is>
          <t>ESSUNGA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24121-2019</t>
        </is>
      </c>
      <c r="B1109" s="1" t="n">
        <v>43598</v>
      </c>
      <c r="C1109" s="1" t="n">
        <v>45586</v>
      </c>
      <c r="D1109" t="inlineStr">
        <is>
          <t>VÄSTRA GÖTALANDS LÄN</t>
        </is>
      </c>
      <c r="E1109" t="inlineStr">
        <is>
          <t>MARIESTAD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24140-2019</t>
        </is>
      </c>
      <c r="B1110" s="1" t="n">
        <v>43598</v>
      </c>
      <c r="C1110" s="1" t="n">
        <v>45586</v>
      </c>
      <c r="D1110" t="inlineStr">
        <is>
          <t>VÄSTRA GÖTALANDS LÄN</t>
        </is>
      </c>
      <c r="E1110" t="inlineStr">
        <is>
          <t>BORÅS</t>
        </is>
      </c>
      <c r="F1110" t="inlineStr">
        <is>
          <t>Kyrkan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24145-2019</t>
        </is>
      </c>
      <c r="B1111" s="1" t="n">
        <v>43598</v>
      </c>
      <c r="C1111" s="1" t="n">
        <v>45586</v>
      </c>
      <c r="D1111" t="inlineStr">
        <is>
          <t>VÄSTRA GÖTALANDS LÄN</t>
        </is>
      </c>
      <c r="E1111" t="inlineStr">
        <is>
          <t>BORÅS</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24150-2019</t>
        </is>
      </c>
      <c r="B1112" s="1" t="n">
        <v>43598</v>
      </c>
      <c r="C1112" s="1" t="n">
        <v>45586</v>
      </c>
      <c r="D1112" t="inlineStr">
        <is>
          <t>VÄSTRA GÖTALANDS LÄN</t>
        </is>
      </c>
      <c r="E1112" t="inlineStr">
        <is>
          <t>BORÅS</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24026-2019</t>
        </is>
      </c>
      <c r="B1113" s="1" t="n">
        <v>43598</v>
      </c>
      <c r="C1113" s="1" t="n">
        <v>45586</v>
      </c>
      <c r="D1113" t="inlineStr">
        <is>
          <t>VÄSTRA GÖTALANDS LÄN</t>
        </is>
      </c>
      <c r="E1113" t="inlineStr">
        <is>
          <t>UDDEVALLA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24052-2019</t>
        </is>
      </c>
      <c r="B1114" s="1" t="n">
        <v>43598</v>
      </c>
      <c r="C1114" s="1" t="n">
        <v>45586</v>
      </c>
      <c r="D1114" t="inlineStr">
        <is>
          <t>VÄSTRA GÖTALANDS LÄN</t>
        </is>
      </c>
      <c r="E1114" t="inlineStr">
        <is>
          <t>TRANEMO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24149-2019</t>
        </is>
      </c>
      <c r="B1115" s="1" t="n">
        <v>43598</v>
      </c>
      <c r="C1115" s="1" t="n">
        <v>45586</v>
      </c>
      <c r="D1115" t="inlineStr">
        <is>
          <t>VÄSTRA GÖTALANDS LÄN</t>
        </is>
      </c>
      <c r="E1115" t="inlineStr">
        <is>
          <t>BORÅS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24075-2019</t>
        </is>
      </c>
      <c r="B1116" s="1" t="n">
        <v>43598</v>
      </c>
      <c r="C1116" s="1" t="n">
        <v>45586</v>
      </c>
      <c r="D1116" t="inlineStr">
        <is>
          <t>VÄSTRA GÖTALANDS LÄN</t>
        </is>
      </c>
      <c r="E1116" t="inlineStr">
        <is>
          <t>VÅRGÅRDA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24045-2019</t>
        </is>
      </c>
      <c r="B1117" s="1" t="n">
        <v>43598</v>
      </c>
      <c r="C1117" s="1" t="n">
        <v>45586</v>
      </c>
      <c r="D1117" t="inlineStr">
        <is>
          <t>VÄSTRA GÖTALANDS LÄN</t>
        </is>
      </c>
      <c r="E1117" t="inlineStr">
        <is>
          <t>UDDEVALLA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24050-2019</t>
        </is>
      </c>
      <c r="B1118" s="1" t="n">
        <v>43598</v>
      </c>
      <c r="C1118" s="1" t="n">
        <v>45586</v>
      </c>
      <c r="D1118" t="inlineStr">
        <is>
          <t>VÄSTRA GÖTALANDS LÄN</t>
        </is>
      </c>
      <c r="E1118" t="inlineStr">
        <is>
          <t>UDDEVALLA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24011-2019</t>
        </is>
      </c>
      <c r="B1119" s="1" t="n">
        <v>43598</v>
      </c>
      <c r="C1119" s="1" t="n">
        <v>45586</v>
      </c>
      <c r="D1119" t="inlineStr">
        <is>
          <t>VÄSTRA GÖTALANDS LÄN</t>
        </is>
      </c>
      <c r="E1119" t="inlineStr">
        <is>
          <t>VÅRGÅRDA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24296-2019</t>
        </is>
      </c>
      <c r="B1120" s="1" t="n">
        <v>43599</v>
      </c>
      <c r="C1120" s="1" t="n">
        <v>45586</v>
      </c>
      <c r="D1120" t="inlineStr">
        <is>
          <t>VÄSTRA GÖTALANDS LÄN</t>
        </is>
      </c>
      <c r="E1120" t="inlineStr">
        <is>
          <t>LIDKÖPING</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24205-2019</t>
        </is>
      </c>
      <c r="B1121" s="1" t="n">
        <v>43599</v>
      </c>
      <c r="C1121" s="1" t="n">
        <v>45586</v>
      </c>
      <c r="D1121" t="inlineStr">
        <is>
          <t>VÄSTRA GÖTALANDS LÄN</t>
        </is>
      </c>
      <c r="E1121" t="inlineStr">
        <is>
          <t>ALINGSÅS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24331-2019</t>
        </is>
      </c>
      <c r="B1122" s="1" t="n">
        <v>43599</v>
      </c>
      <c r="C1122" s="1" t="n">
        <v>45586</v>
      </c>
      <c r="D1122" t="inlineStr">
        <is>
          <t>VÄSTRA GÖTALANDS LÄN</t>
        </is>
      </c>
      <c r="E1122" t="inlineStr">
        <is>
          <t>SVENLJUNGA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24214-2019</t>
        </is>
      </c>
      <c r="B1123" s="1" t="n">
        <v>43599</v>
      </c>
      <c r="C1123" s="1" t="n">
        <v>45586</v>
      </c>
      <c r="D1123" t="inlineStr">
        <is>
          <t>VÄSTRA GÖTALANDS LÄN</t>
        </is>
      </c>
      <c r="E1123" t="inlineStr">
        <is>
          <t>VARA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24312-2019</t>
        </is>
      </c>
      <c r="B1124" s="1" t="n">
        <v>43599</v>
      </c>
      <c r="C1124" s="1" t="n">
        <v>45586</v>
      </c>
      <c r="D1124" t="inlineStr">
        <is>
          <t>VÄSTRA GÖTALANDS LÄN</t>
        </is>
      </c>
      <c r="E1124" t="inlineStr">
        <is>
          <t>TROLLHÄTTAN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24384-2019</t>
        </is>
      </c>
      <c r="B1125" s="1" t="n">
        <v>43599</v>
      </c>
      <c r="C1125" s="1" t="n">
        <v>45586</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24883-2019</t>
        </is>
      </c>
      <c r="B1126" s="1" t="n">
        <v>43599</v>
      </c>
      <c r="C1126" s="1" t="n">
        <v>45586</v>
      </c>
      <c r="D1126" t="inlineStr">
        <is>
          <t>VÄSTRA GÖTALANDS LÄN</t>
        </is>
      </c>
      <c r="E1126" t="inlineStr">
        <is>
          <t>TANUM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24927-2019</t>
        </is>
      </c>
      <c r="B1127" s="1" t="n">
        <v>43599</v>
      </c>
      <c r="C1127" s="1" t="n">
        <v>45586</v>
      </c>
      <c r="D1127" t="inlineStr">
        <is>
          <t>VÄSTRA GÖTALANDS LÄN</t>
        </is>
      </c>
      <c r="E1127" t="inlineStr">
        <is>
          <t>LIDKÖPING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24253-2019</t>
        </is>
      </c>
      <c r="B1128" s="1" t="n">
        <v>43599</v>
      </c>
      <c r="C1128" s="1" t="n">
        <v>45586</v>
      </c>
      <c r="D1128" t="inlineStr">
        <is>
          <t>VÄSTRA GÖTALANDS LÄN</t>
        </is>
      </c>
      <c r="E1128" t="inlineStr">
        <is>
          <t>MARK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24385-2019</t>
        </is>
      </c>
      <c r="B1129" s="1" t="n">
        <v>43599</v>
      </c>
      <c r="C1129" s="1" t="n">
        <v>45586</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24319-2019</t>
        </is>
      </c>
      <c r="B1130" s="1" t="n">
        <v>43599</v>
      </c>
      <c r="C1130" s="1" t="n">
        <v>45586</v>
      </c>
      <c r="D1130" t="inlineStr">
        <is>
          <t>VÄSTRA GÖTALANDS LÄN</t>
        </is>
      </c>
      <c r="E1130" t="inlineStr">
        <is>
          <t>SVENLJUNGA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24361-2019</t>
        </is>
      </c>
      <c r="B1131" s="1" t="n">
        <v>43599</v>
      </c>
      <c r="C1131" s="1" t="n">
        <v>45586</v>
      </c>
      <c r="D1131" t="inlineStr">
        <is>
          <t>VÄSTRA GÖTALANDS LÄN</t>
        </is>
      </c>
      <c r="E1131" t="inlineStr">
        <is>
          <t>FÄRGELANDA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24830-2019</t>
        </is>
      </c>
      <c r="B1132" s="1" t="n">
        <v>43599</v>
      </c>
      <c r="C1132" s="1" t="n">
        <v>45586</v>
      </c>
      <c r="D1132" t="inlineStr">
        <is>
          <t>VÄSTRA GÖTALANDS LÄN</t>
        </is>
      </c>
      <c r="E1132" t="inlineStr">
        <is>
          <t>SVENLJUNGA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24338-2019</t>
        </is>
      </c>
      <c r="B1133" s="1" t="n">
        <v>43599</v>
      </c>
      <c r="C1133" s="1" t="n">
        <v>45586</v>
      </c>
      <c r="D1133" t="inlineStr">
        <is>
          <t>VÄSTRA GÖTALANDS LÄN</t>
        </is>
      </c>
      <c r="E1133" t="inlineStr">
        <is>
          <t>SVENLJUNGA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24304-2019</t>
        </is>
      </c>
      <c r="B1134" s="1" t="n">
        <v>43599</v>
      </c>
      <c r="C1134" s="1" t="n">
        <v>45586</v>
      </c>
      <c r="D1134" t="inlineStr">
        <is>
          <t>VÄSTRA GÖTALANDS LÄN</t>
        </is>
      </c>
      <c r="E1134" t="inlineStr">
        <is>
          <t>BENGTSFORS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24464-2019</t>
        </is>
      </c>
      <c r="B1135" s="1" t="n">
        <v>43600</v>
      </c>
      <c r="C1135" s="1" t="n">
        <v>45586</v>
      </c>
      <c r="D1135" t="inlineStr">
        <is>
          <t>VÄSTRA GÖTALANDS LÄN</t>
        </is>
      </c>
      <c r="E1135" t="inlineStr">
        <is>
          <t>ÅMÅL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24494-2019</t>
        </is>
      </c>
      <c r="B1136" s="1" t="n">
        <v>43600</v>
      </c>
      <c r="C1136" s="1" t="n">
        <v>45586</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24458-2019</t>
        </is>
      </c>
      <c r="B1137" s="1" t="n">
        <v>43600</v>
      </c>
      <c r="C1137" s="1" t="n">
        <v>45586</v>
      </c>
      <c r="D1137" t="inlineStr">
        <is>
          <t>VÄSTRA GÖTALANDS LÄN</t>
        </is>
      </c>
      <c r="E1137" t="inlineStr">
        <is>
          <t>TROLLHÄTTAN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24545-2019</t>
        </is>
      </c>
      <c r="B1138" s="1" t="n">
        <v>43600</v>
      </c>
      <c r="C1138" s="1" t="n">
        <v>45586</v>
      </c>
      <c r="D1138" t="inlineStr">
        <is>
          <t>VÄSTRA GÖTALANDS LÄN</t>
        </is>
      </c>
      <c r="E1138" t="inlineStr">
        <is>
          <t>SKARA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24507-2019</t>
        </is>
      </c>
      <c r="B1139" s="1" t="n">
        <v>43600</v>
      </c>
      <c r="C1139" s="1" t="n">
        <v>45586</v>
      </c>
      <c r="D1139" t="inlineStr">
        <is>
          <t>VÄSTRA GÖTALANDS LÄN</t>
        </is>
      </c>
      <c r="E1139" t="inlineStr">
        <is>
          <t>SKARA</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24618-2019</t>
        </is>
      </c>
      <c r="B1140" s="1" t="n">
        <v>43601</v>
      </c>
      <c r="C1140" s="1" t="n">
        <v>45586</v>
      </c>
      <c r="D1140" t="inlineStr">
        <is>
          <t>VÄSTRA GÖTALANDS LÄN</t>
        </is>
      </c>
      <c r="E1140" t="inlineStr">
        <is>
          <t>TRANEMO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24652-2019</t>
        </is>
      </c>
      <c r="B1141" s="1" t="n">
        <v>43601</v>
      </c>
      <c r="C1141" s="1" t="n">
        <v>45586</v>
      </c>
      <c r="D1141" t="inlineStr">
        <is>
          <t>VÄSTRA GÖTALANDS LÄN</t>
        </is>
      </c>
      <c r="E1141" t="inlineStr">
        <is>
          <t>ULRICEHAMN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24731-2019</t>
        </is>
      </c>
      <c r="B1142" s="1" t="n">
        <v>43601</v>
      </c>
      <c r="C1142" s="1" t="n">
        <v>45586</v>
      </c>
      <c r="D1142" t="inlineStr">
        <is>
          <t>VÄSTRA GÖTALANDS LÄN</t>
        </is>
      </c>
      <c r="E1142" t="inlineStr">
        <is>
          <t>TIDAHOLM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24653-2019</t>
        </is>
      </c>
      <c r="B1143" s="1" t="n">
        <v>43601</v>
      </c>
      <c r="C1143" s="1" t="n">
        <v>45586</v>
      </c>
      <c r="D1143" t="inlineStr">
        <is>
          <t>VÄSTRA GÖTALANDS LÄN</t>
        </is>
      </c>
      <c r="E1143" t="inlineStr">
        <is>
          <t>ULRICEHAMN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24675-2019</t>
        </is>
      </c>
      <c r="B1144" s="1" t="n">
        <v>43601</v>
      </c>
      <c r="C1144" s="1" t="n">
        <v>45586</v>
      </c>
      <c r="D1144" t="inlineStr">
        <is>
          <t>VÄSTRA GÖTALANDS LÄN</t>
        </is>
      </c>
      <c r="E1144" t="inlineStr">
        <is>
          <t>TROLLHÄTTAN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24681-2019</t>
        </is>
      </c>
      <c r="B1145" s="1" t="n">
        <v>43601</v>
      </c>
      <c r="C1145" s="1" t="n">
        <v>45586</v>
      </c>
      <c r="D1145" t="inlineStr">
        <is>
          <t>VÄSTRA GÖTALANDS LÄN</t>
        </is>
      </c>
      <c r="E1145" t="inlineStr">
        <is>
          <t>UDDEVALLA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25454-2019</t>
        </is>
      </c>
      <c r="B1146" s="1" t="n">
        <v>43601</v>
      </c>
      <c r="C1146" s="1" t="n">
        <v>45586</v>
      </c>
      <c r="D1146" t="inlineStr">
        <is>
          <t>VÄSTRA GÖTALANDS LÄN</t>
        </is>
      </c>
      <c r="E1146" t="inlineStr">
        <is>
          <t>BORÅS</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24596-2019</t>
        </is>
      </c>
      <c r="B1147" s="1" t="n">
        <v>43601</v>
      </c>
      <c r="C1147" s="1" t="n">
        <v>45586</v>
      </c>
      <c r="D1147" t="inlineStr">
        <is>
          <t>VÄSTRA GÖTALANDS LÄN</t>
        </is>
      </c>
      <c r="E1147" t="inlineStr">
        <is>
          <t>MARK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25595-2019</t>
        </is>
      </c>
      <c r="B1148" s="1" t="n">
        <v>43601</v>
      </c>
      <c r="C1148" s="1" t="n">
        <v>45586</v>
      </c>
      <c r="D1148" t="inlineStr">
        <is>
          <t>VÄSTRA GÖTALANDS LÄN</t>
        </is>
      </c>
      <c r="E1148" t="inlineStr">
        <is>
          <t>BENGTSFORS</t>
        </is>
      </c>
      <c r="F1148" t="inlineStr">
        <is>
          <t>Kyrkan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24869-2019</t>
        </is>
      </c>
      <c r="B1149" s="1" t="n">
        <v>43602</v>
      </c>
      <c r="C1149" s="1" t="n">
        <v>45586</v>
      </c>
      <c r="D1149" t="inlineStr">
        <is>
          <t>VÄSTRA GÖTALANDS LÄN</t>
        </is>
      </c>
      <c r="E1149" t="inlineStr">
        <is>
          <t>ESSUNGA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24962-2019</t>
        </is>
      </c>
      <c r="B1150" s="1" t="n">
        <v>43602</v>
      </c>
      <c r="C1150" s="1" t="n">
        <v>45586</v>
      </c>
      <c r="D1150" t="inlineStr">
        <is>
          <t>VÄSTRA GÖTALANDS LÄN</t>
        </is>
      </c>
      <c r="E1150" t="inlineStr">
        <is>
          <t>VÄNERSBORG</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24880-2019</t>
        </is>
      </c>
      <c r="B1151" s="1" t="n">
        <v>43602</v>
      </c>
      <c r="C1151" s="1" t="n">
        <v>45586</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25649-2019</t>
        </is>
      </c>
      <c r="B1152" s="1" t="n">
        <v>43602</v>
      </c>
      <c r="C1152" s="1" t="n">
        <v>45586</v>
      </c>
      <c r="D1152" t="inlineStr">
        <is>
          <t>VÄSTRA GÖTALANDS LÄN</t>
        </is>
      </c>
      <c r="E1152" t="inlineStr">
        <is>
          <t>ALINGSÅS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24956-2019</t>
        </is>
      </c>
      <c r="B1153" s="1" t="n">
        <v>43602</v>
      </c>
      <c r="C1153" s="1" t="n">
        <v>45586</v>
      </c>
      <c r="D1153" t="inlineStr">
        <is>
          <t>VÄSTRA GÖTALANDS LÄN</t>
        </is>
      </c>
      <c r="E1153" t="inlineStr">
        <is>
          <t>VÄNERSBORG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24951-2019</t>
        </is>
      </c>
      <c r="B1154" s="1" t="n">
        <v>43602</v>
      </c>
      <c r="C1154" s="1" t="n">
        <v>45586</v>
      </c>
      <c r="D1154" t="inlineStr">
        <is>
          <t>VÄSTRA GÖTALANDS LÄN</t>
        </is>
      </c>
      <c r="E1154" t="inlineStr">
        <is>
          <t>MELLERUD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25646-2019</t>
        </is>
      </c>
      <c r="B1155" s="1" t="n">
        <v>43602</v>
      </c>
      <c r="C1155" s="1" t="n">
        <v>45586</v>
      </c>
      <c r="D1155" t="inlineStr">
        <is>
          <t>VÄSTRA GÖTALANDS LÄN</t>
        </is>
      </c>
      <c r="E1155" t="inlineStr">
        <is>
          <t>ALINGSÅS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25057-2019</t>
        </is>
      </c>
      <c r="B1156" s="1" t="n">
        <v>43604</v>
      </c>
      <c r="C1156" s="1" t="n">
        <v>45586</v>
      </c>
      <c r="D1156" t="inlineStr">
        <is>
          <t>VÄSTRA GÖTALANDS LÄN</t>
        </is>
      </c>
      <c r="E1156" t="inlineStr">
        <is>
          <t>FALKÖPING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25058-2019</t>
        </is>
      </c>
      <c r="B1157" s="1" t="n">
        <v>43604</v>
      </c>
      <c r="C1157" s="1" t="n">
        <v>45586</v>
      </c>
      <c r="D1157" t="inlineStr">
        <is>
          <t>VÄSTRA GÖTALANDS LÄN</t>
        </is>
      </c>
      <c r="E1157" t="inlineStr">
        <is>
          <t>FALKÖPING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25136-2019</t>
        </is>
      </c>
      <c r="B1158" s="1" t="n">
        <v>43605</v>
      </c>
      <c r="C1158" s="1" t="n">
        <v>45586</v>
      </c>
      <c r="D1158" t="inlineStr">
        <is>
          <t>VÄSTRA GÖTALANDS LÄN</t>
        </is>
      </c>
      <c r="E1158" t="inlineStr">
        <is>
          <t>TÖREBODA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25161-2019</t>
        </is>
      </c>
      <c r="B1159" s="1" t="n">
        <v>43605</v>
      </c>
      <c r="C1159" s="1" t="n">
        <v>45586</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25138-2019</t>
        </is>
      </c>
      <c r="B1160" s="1" t="n">
        <v>43605</v>
      </c>
      <c r="C1160" s="1" t="n">
        <v>45586</v>
      </c>
      <c r="D1160" t="inlineStr">
        <is>
          <t>VÄSTRA GÖTALANDS LÄN</t>
        </is>
      </c>
      <c r="E1160" t="inlineStr">
        <is>
          <t>TÖREBODA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25177-2019</t>
        </is>
      </c>
      <c r="B1161" s="1" t="n">
        <v>43605</v>
      </c>
      <c r="C1161" s="1" t="n">
        <v>45586</v>
      </c>
      <c r="D1161" t="inlineStr">
        <is>
          <t>VÄSTRA GÖTALANDS LÄN</t>
        </is>
      </c>
      <c r="E1161" t="inlineStr">
        <is>
          <t>VARA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25156-2019</t>
        </is>
      </c>
      <c r="B1162" s="1" t="n">
        <v>43605</v>
      </c>
      <c r="C1162" s="1" t="n">
        <v>45586</v>
      </c>
      <c r="D1162" t="inlineStr">
        <is>
          <t>VÄSTRA GÖTALANDS LÄN</t>
        </is>
      </c>
      <c r="E1162" t="inlineStr">
        <is>
          <t>VARA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25276-2019</t>
        </is>
      </c>
      <c r="B1163" s="1" t="n">
        <v>43605</v>
      </c>
      <c r="C1163" s="1" t="n">
        <v>45586</v>
      </c>
      <c r="D1163" t="inlineStr">
        <is>
          <t>VÄSTRA GÖTALANDS LÄN</t>
        </is>
      </c>
      <c r="E1163" t="inlineStr">
        <is>
          <t>TANUM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25237-2019</t>
        </is>
      </c>
      <c r="B1164" s="1" t="n">
        <v>43605</v>
      </c>
      <c r="C1164" s="1" t="n">
        <v>45586</v>
      </c>
      <c r="D1164" t="inlineStr">
        <is>
          <t>VÄSTRA GÖTALANDS LÄN</t>
        </is>
      </c>
      <c r="E1164" t="inlineStr">
        <is>
          <t>VÅRGÅRDA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25302-2019</t>
        </is>
      </c>
      <c r="B1165" s="1" t="n">
        <v>43605</v>
      </c>
      <c r="C1165" s="1" t="n">
        <v>45586</v>
      </c>
      <c r="D1165" t="inlineStr">
        <is>
          <t>VÄSTRA GÖTALANDS LÄN</t>
        </is>
      </c>
      <c r="E1165" t="inlineStr">
        <is>
          <t>TANUM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25225-2019</t>
        </is>
      </c>
      <c r="B1166" s="1" t="n">
        <v>43605</v>
      </c>
      <c r="C1166" s="1" t="n">
        <v>45586</v>
      </c>
      <c r="D1166" t="inlineStr">
        <is>
          <t>VÄSTRA GÖTALANDS LÄN</t>
        </is>
      </c>
      <c r="E1166" t="inlineStr">
        <is>
          <t>STRÖMSTAD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25247-2019</t>
        </is>
      </c>
      <c r="B1167" s="1" t="n">
        <v>43605</v>
      </c>
      <c r="C1167" s="1" t="n">
        <v>45586</v>
      </c>
      <c r="D1167" t="inlineStr">
        <is>
          <t>VÄSTRA GÖTALANDS LÄN</t>
        </is>
      </c>
      <c r="E1167" t="inlineStr">
        <is>
          <t>ULRICEHAMN</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25268-2019</t>
        </is>
      </c>
      <c r="B1168" s="1" t="n">
        <v>43605</v>
      </c>
      <c r="C1168" s="1" t="n">
        <v>45586</v>
      </c>
      <c r="D1168" t="inlineStr">
        <is>
          <t>VÄSTRA GÖTALANDS LÄN</t>
        </is>
      </c>
      <c r="E1168" t="inlineStr">
        <is>
          <t>TANUM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25183-2019</t>
        </is>
      </c>
      <c r="B1169" s="1" t="n">
        <v>43605</v>
      </c>
      <c r="C1169" s="1" t="n">
        <v>45586</v>
      </c>
      <c r="D1169" t="inlineStr">
        <is>
          <t>VÄSTRA GÖTALANDS LÄN</t>
        </is>
      </c>
      <c r="E1169" t="inlineStr">
        <is>
          <t>FALKÖPING</t>
        </is>
      </c>
      <c r="F1169" t="inlineStr">
        <is>
          <t>Kyrkan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25369-2019</t>
        </is>
      </c>
      <c r="B1170" s="1" t="n">
        <v>43606</v>
      </c>
      <c r="C1170" s="1" t="n">
        <v>45586</v>
      </c>
      <c r="D1170" t="inlineStr">
        <is>
          <t>VÄSTRA GÖTALANDS LÄN</t>
        </is>
      </c>
      <c r="E1170" t="inlineStr">
        <is>
          <t>TANUM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25411-2019</t>
        </is>
      </c>
      <c r="B1171" s="1" t="n">
        <v>43606</v>
      </c>
      <c r="C1171" s="1" t="n">
        <v>45586</v>
      </c>
      <c r="D1171" t="inlineStr">
        <is>
          <t>VÄSTRA GÖTALANDS LÄN</t>
        </is>
      </c>
      <c r="E1171" t="inlineStr">
        <is>
          <t>ORUST</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25374-2019</t>
        </is>
      </c>
      <c r="B1172" s="1" t="n">
        <v>43606</v>
      </c>
      <c r="C1172" s="1" t="n">
        <v>45586</v>
      </c>
      <c r="D1172" t="inlineStr">
        <is>
          <t>VÄSTRA GÖTALANDS LÄN</t>
        </is>
      </c>
      <c r="E1172" t="inlineStr">
        <is>
          <t>ULRICEHAMN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25422-2019</t>
        </is>
      </c>
      <c r="B1173" s="1" t="n">
        <v>43606</v>
      </c>
      <c r="C1173" s="1" t="n">
        <v>45586</v>
      </c>
      <c r="D1173" t="inlineStr">
        <is>
          <t>VÄSTRA GÖTALANDS LÄN</t>
        </is>
      </c>
      <c r="E1173" t="inlineStr">
        <is>
          <t>ORUST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25359-2019</t>
        </is>
      </c>
      <c r="B1174" s="1" t="n">
        <v>43606</v>
      </c>
      <c r="C1174" s="1" t="n">
        <v>45586</v>
      </c>
      <c r="D1174" t="inlineStr">
        <is>
          <t>VÄSTRA GÖTALANDS LÄN</t>
        </is>
      </c>
      <c r="E1174" t="inlineStr">
        <is>
          <t>LIDKÖPING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25373-2019</t>
        </is>
      </c>
      <c r="B1175" s="1" t="n">
        <v>43606</v>
      </c>
      <c r="C1175" s="1" t="n">
        <v>45586</v>
      </c>
      <c r="D1175" t="inlineStr">
        <is>
          <t>VÄSTRA GÖTALANDS LÄN</t>
        </is>
      </c>
      <c r="E1175" t="inlineStr">
        <is>
          <t>ULRICEHAMN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25444-2019</t>
        </is>
      </c>
      <c r="B1176" s="1" t="n">
        <v>43606</v>
      </c>
      <c r="C1176" s="1" t="n">
        <v>45586</v>
      </c>
      <c r="D1176" t="inlineStr">
        <is>
          <t>VÄSTRA GÖTALANDS LÄN</t>
        </is>
      </c>
      <c r="E1176" t="inlineStr">
        <is>
          <t>VÄNERSBORG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25531-2019</t>
        </is>
      </c>
      <c r="B1177" s="1" t="n">
        <v>43606</v>
      </c>
      <c r="C1177" s="1" t="n">
        <v>45586</v>
      </c>
      <c r="D1177" t="inlineStr">
        <is>
          <t>VÄSTRA GÖTALANDS LÄN</t>
        </is>
      </c>
      <c r="E1177" t="inlineStr">
        <is>
          <t>TRANEMO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26432-2019</t>
        </is>
      </c>
      <c r="B1178" s="1" t="n">
        <v>43606</v>
      </c>
      <c r="C1178" s="1" t="n">
        <v>45586</v>
      </c>
      <c r="D1178" t="inlineStr">
        <is>
          <t>VÄSTRA GÖTALANDS LÄN</t>
        </is>
      </c>
      <c r="E1178" t="inlineStr">
        <is>
          <t>SKARA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26328-2019</t>
        </is>
      </c>
      <c r="B1179" s="1" t="n">
        <v>43606</v>
      </c>
      <c r="C1179" s="1" t="n">
        <v>45586</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25415-2019</t>
        </is>
      </c>
      <c r="B1180" s="1" t="n">
        <v>43606</v>
      </c>
      <c r="C1180" s="1" t="n">
        <v>45586</v>
      </c>
      <c r="D1180" t="inlineStr">
        <is>
          <t>VÄSTRA GÖTALANDS LÄN</t>
        </is>
      </c>
      <c r="E1180" t="inlineStr">
        <is>
          <t>VÅRGÅRDA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25378-2019</t>
        </is>
      </c>
      <c r="B1181" s="1" t="n">
        <v>43606</v>
      </c>
      <c r="C1181" s="1" t="n">
        <v>45586</v>
      </c>
      <c r="D1181" t="inlineStr">
        <is>
          <t>VÄSTRA GÖTALANDS LÄN</t>
        </is>
      </c>
      <c r="E1181" t="inlineStr">
        <is>
          <t>LIDKÖPING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25505-2019</t>
        </is>
      </c>
      <c r="B1182" s="1" t="n">
        <v>43606</v>
      </c>
      <c r="C1182" s="1" t="n">
        <v>45586</v>
      </c>
      <c r="D1182" t="inlineStr">
        <is>
          <t>VÄSTRA GÖTALANDS LÄN</t>
        </is>
      </c>
      <c r="E1182" t="inlineStr">
        <is>
          <t>ULRICEHAMN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25380-2019</t>
        </is>
      </c>
      <c r="B1183" s="1" t="n">
        <v>43606</v>
      </c>
      <c r="C1183" s="1" t="n">
        <v>45586</v>
      </c>
      <c r="D1183" t="inlineStr">
        <is>
          <t>VÄSTRA GÖTALANDS LÄN</t>
        </is>
      </c>
      <c r="E1183" t="inlineStr">
        <is>
          <t>LIDKÖPING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25524-2019</t>
        </is>
      </c>
      <c r="B1184" s="1" t="n">
        <v>43606</v>
      </c>
      <c r="C1184" s="1" t="n">
        <v>45586</v>
      </c>
      <c r="D1184" t="inlineStr">
        <is>
          <t>VÄSTRA GÖTALANDS LÄN</t>
        </is>
      </c>
      <c r="E1184" t="inlineStr">
        <is>
          <t>HJO</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25530-2019</t>
        </is>
      </c>
      <c r="B1185" s="1" t="n">
        <v>43606</v>
      </c>
      <c r="C1185" s="1" t="n">
        <v>45586</v>
      </c>
      <c r="D1185" t="inlineStr">
        <is>
          <t>VÄSTRA GÖTALANDS LÄN</t>
        </is>
      </c>
      <c r="E1185" t="inlineStr">
        <is>
          <t>TRANEMO</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26363-2019</t>
        </is>
      </c>
      <c r="B1186" s="1" t="n">
        <v>43606</v>
      </c>
      <c r="C1186" s="1" t="n">
        <v>45586</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25532-2019</t>
        </is>
      </c>
      <c r="B1187" s="1" t="n">
        <v>43606</v>
      </c>
      <c r="C1187" s="1" t="n">
        <v>45586</v>
      </c>
      <c r="D1187" t="inlineStr">
        <is>
          <t>VÄSTRA GÖTALANDS LÄN</t>
        </is>
      </c>
      <c r="E1187" t="inlineStr">
        <is>
          <t>TRANEMO</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26324-2019</t>
        </is>
      </c>
      <c r="B1188" s="1" t="n">
        <v>43606</v>
      </c>
      <c r="C1188" s="1" t="n">
        <v>45586</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26425-2019</t>
        </is>
      </c>
      <c r="B1189" s="1" t="n">
        <v>43606</v>
      </c>
      <c r="C1189" s="1" t="n">
        <v>45586</v>
      </c>
      <c r="D1189" t="inlineStr">
        <is>
          <t>VÄSTRA GÖTALANDS LÄN</t>
        </is>
      </c>
      <c r="E1189" t="inlineStr">
        <is>
          <t>LIDKÖPING</t>
        </is>
      </c>
      <c r="F1189" t="inlineStr">
        <is>
          <t>Kommuner</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25413-2019</t>
        </is>
      </c>
      <c r="B1190" s="1" t="n">
        <v>43606</v>
      </c>
      <c r="C1190" s="1" t="n">
        <v>45586</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25372-2019</t>
        </is>
      </c>
      <c r="B1191" s="1" t="n">
        <v>43606</v>
      </c>
      <c r="C1191" s="1" t="n">
        <v>45586</v>
      </c>
      <c r="D1191" t="inlineStr">
        <is>
          <t>VÄSTRA GÖTALANDS LÄN</t>
        </is>
      </c>
      <c r="E1191" t="inlineStr">
        <is>
          <t>ULRICEHAMN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25424-2019</t>
        </is>
      </c>
      <c r="B1192" s="1" t="n">
        <v>43606</v>
      </c>
      <c r="C1192" s="1" t="n">
        <v>45586</v>
      </c>
      <c r="D1192" t="inlineStr">
        <is>
          <t>VÄSTRA GÖTALANDS LÄN</t>
        </is>
      </c>
      <c r="E1192" t="inlineStr">
        <is>
          <t>ORUST</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25417-2019</t>
        </is>
      </c>
      <c r="B1193" s="1" t="n">
        <v>43606</v>
      </c>
      <c r="C1193" s="1" t="n">
        <v>45586</v>
      </c>
      <c r="D1193" t="inlineStr">
        <is>
          <t>VÄSTRA GÖTALANDS LÄN</t>
        </is>
      </c>
      <c r="E1193" t="inlineStr">
        <is>
          <t>BOLLEBYGD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25605-2019</t>
        </is>
      </c>
      <c r="B1194" s="1" t="n">
        <v>43607</v>
      </c>
      <c r="C1194" s="1" t="n">
        <v>45586</v>
      </c>
      <c r="D1194" t="inlineStr">
        <is>
          <t>VÄSTRA GÖTALANDS LÄN</t>
        </is>
      </c>
      <c r="E1194" t="inlineStr">
        <is>
          <t>FALKÖPING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25579-2019</t>
        </is>
      </c>
      <c r="B1195" s="1" t="n">
        <v>43607</v>
      </c>
      <c r="C1195" s="1" t="n">
        <v>45586</v>
      </c>
      <c r="D1195" t="inlineStr">
        <is>
          <t>VÄSTRA GÖTALANDS LÄN</t>
        </is>
      </c>
      <c r="E1195" t="inlineStr">
        <is>
          <t>SKARA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25723-2019</t>
        </is>
      </c>
      <c r="B1196" s="1" t="n">
        <v>43608</v>
      </c>
      <c r="C1196" s="1" t="n">
        <v>45586</v>
      </c>
      <c r="D1196" t="inlineStr">
        <is>
          <t>VÄSTRA GÖTALANDS LÄN</t>
        </is>
      </c>
      <c r="E1196" t="inlineStr">
        <is>
          <t>TRANEMO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25728-2019</t>
        </is>
      </c>
      <c r="B1197" s="1" t="n">
        <v>43608</v>
      </c>
      <c r="C1197" s="1" t="n">
        <v>45586</v>
      </c>
      <c r="D1197" t="inlineStr">
        <is>
          <t>VÄSTRA GÖTALANDS LÄN</t>
        </is>
      </c>
      <c r="E1197" t="inlineStr">
        <is>
          <t>ALINGSÅS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25785-2019</t>
        </is>
      </c>
      <c r="B1198" s="1" t="n">
        <v>43608</v>
      </c>
      <c r="C1198" s="1" t="n">
        <v>45586</v>
      </c>
      <c r="D1198" t="inlineStr">
        <is>
          <t>VÄSTRA GÖTALANDS LÄN</t>
        </is>
      </c>
      <c r="E1198" t="inlineStr">
        <is>
          <t>ULRICEHAMN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25772-2019</t>
        </is>
      </c>
      <c r="B1199" s="1" t="n">
        <v>43608</v>
      </c>
      <c r="C1199" s="1" t="n">
        <v>45586</v>
      </c>
      <c r="D1199" t="inlineStr">
        <is>
          <t>VÄSTRA GÖTALANDS LÄN</t>
        </is>
      </c>
      <c r="E1199" t="inlineStr">
        <is>
          <t>FÄRGELANDA</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25724-2019</t>
        </is>
      </c>
      <c r="B1200" s="1" t="n">
        <v>43608</v>
      </c>
      <c r="C1200" s="1" t="n">
        <v>45586</v>
      </c>
      <c r="D1200" t="inlineStr">
        <is>
          <t>VÄSTRA GÖTALANDS LÄN</t>
        </is>
      </c>
      <c r="E1200" t="inlineStr">
        <is>
          <t>TRANEMO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25812-2019</t>
        </is>
      </c>
      <c r="B1201" s="1" t="n">
        <v>43608</v>
      </c>
      <c r="C1201" s="1" t="n">
        <v>45586</v>
      </c>
      <c r="D1201" t="inlineStr">
        <is>
          <t>VÄSTRA GÖTALANDS LÄN</t>
        </is>
      </c>
      <c r="E1201" t="inlineStr">
        <is>
          <t>TANUM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25836-2019</t>
        </is>
      </c>
      <c r="B1202" s="1" t="n">
        <v>43608</v>
      </c>
      <c r="C1202" s="1" t="n">
        <v>45586</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25726-2019</t>
        </is>
      </c>
      <c r="B1203" s="1" t="n">
        <v>43608</v>
      </c>
      <c r="C1203" s="1" t="n">
        <v>45586</v>
      </c>
      <c r="D1203" t="inlineStr">
        <is>
          <t>VÄSTRA GÖTALANDS LÄN</t>
        </is>
      </c>
      <c r="E1203" t="inlineStr">
        <is>
          <t>TRANEMO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25837-2019</t>
        </is>
      </c>
      <c r="B1204" s="1" t="n">
        <v>43608</v>
      </c>
      <c r="C1204" s="1" t="n">
        <v>45586</v>
      </c>
      <c r="D1204" t="inlineStr">
        <is>
          <t>VÄSTRA GÖTALANDS LÄN</t>
        </is>
      </c>
      <c r="E1204" t="inlineStr">
        <is>
          <t>TANUM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26915-2019</t>
        </is>
      </c>
      <c r="B1205" s="1" t="n">
        <v>43608</v>
      </c>
      <c r="C1205" s="1" t="n">
        <v>45586</v>
      </c>
      <c r="D1205" t="inlineStr">
        <is>
          <t>VÄSTRA GÖTALANDS LÄN</t>
        </is>
      </c>
      <c r="E1205" t="inlineStr">
        <is>
          <t>LIDKÖPING</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25938-2019</t>
        </is>
      </c>
      <c r="B1206" s="1" t="n">
        <v>43608</v>
      </c>
      <c r="C1206" s="1" t="n">
        <v>45586</v>
      </c>
      <c r="D1206" t="inlineStr">
        <is>
          <t>VÄSTRA GÖTALANDS LÄN</t>
        </is>
      </c>
      <c r="E1206" t="inlineStr">
        <is>
          <t>MELLERUD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25720-2019</t>
        </is>
      </c>
      <c r="B1207" s="1" t="n">
        <v>43608</v>
      </c>
      <c r="C1207" s="1" t="n">
        <v>45586</v>
      </c>
      <c r="D1207" t="inlineStr">
        <is>
          <t>VÄSTRA GÖTALANDS LÄN</t>
        </is>
      </c>
      <c r="E1207" t="inlineStr">
        <is>
          <t>BORÅS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26134-2019</t>
        </is>
      </c>
      <c r="B1208" s="1" t="n">
        <v>43609</v>
      </c>
      <c r="C1208" s="1" t="n">
        <v>45586</v>
      </c>
      <c r="D1208" t="inlineStr">
        <is>
          <t>VÄSTRA GÖTALANDS LÄN</t>
        </is>
      </c>
      <c r="E1208" t="inlineStr">
        <is>
          <t>SKÖVDE</t>
        </is>
      </c>
      <c r="F1208" t="inlineStr">
        <is>
          <t>Övriga statliga verk och myndigheter</t>
        </is>
      </c>
      <c r="G1208" t="n">
        <v>18.9</v>
      </c>
      <c r="H1208" t="n">
        <v>0</v>
      </c>
      <c r="I1208" t="n">
        <v>0</v>
      </c>
      <c r="J1208" t="n">
        <v>0</v>
      </c>
      <c r="K1208" t="n">
        <v>0</v>
      </c>
      <c r="L1208" t="n">
        <v>0</v>
      </c>
      <c r="M1208" t="n">
        <v>0</v>
      </c>
      <c r="N1208" t="n">
        <v>0</v>
      </c>
      <c r="O1208" t="n">
        <v>0</v>
      </c>
      <c r="P1208" t="n">
        <v>0</v>
      </c>
      <c r="Q1208" t="n">
        <v>0</v>
      </c>
      <c r="R1208" s="2" t="inlineStr"/>
    </row>
    <row r="1209" ht="15" customHeight="1">
      <c r="A1209" t="inlineStr">
        <is>
          <t>A 26093-2019</t>
        </is>
      </c>
      <c r="B1209" s="1" t="n">
        <v>43609</v>
      </c>
      <c r="C1209" s="1" t="n">
        <v>45586</v>
      </c>
      <c r="D1209" t="inlineStr">
        <is>
          <t>VÄSTRA GÖTALANDS LÄN</t>
        </is>
      </c>
      <c r="E1209" t="inlineStr">
        <is>
          <t>FÄRGELANDA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26228-2019</t>
        </is>
      </c>
      <c r="B1210" s="1" t="n">
        <v>43609</v>
      </c>
      <c r="C1210" s="1" t="n">
        <v>45586</v>
      </c>
      <c r="D1210" t="inlineStr">
        <is>
          <t>VÄSTRA GÖTALANDS LÄN</t>
        </is>
      </c>
      <c r="E1210" t="inlineStr">
        <is>
          <t>SVENLJUNGA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26143-2019</t>
        </is>
      </c>
      <c r="B1211" s="1" t="n">
        <v>43609</v>
      </c>
      <c r="C1211" s="1" t="n">
        <v>45586</v>
      </c>
      <c r="D1211" t="inlineStr">
        <is>
          <t>VÄSTRA GÖTALANDS LÄN</t>
        </is>
      </c>
      <c r="E1211" t="inlineStr">
        <is>
          <t>KARLSBORG</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26168-2019</t>
        </is>
      </c>
      <c r="B1212" s="1" t="n">
        <v>43609</v>
      </c>
      <c r="C1212" s="1" t="n">
        <v>45586</v>
      </c>
      <c r="D1212" t="inlineStr">
        <is>
          <t>VÄSTRA GÖTALANDS LÄN</t>
        </is>
      </c>
      <c r="E1212" t="inlineStr">
        <is>
          <t>GÖTENE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26118-2019</t>
        </is>
      </c>
      <c r="B1213" s="1" t="n">
        <v>43609</v>
      </c>
      <c r="C1213" s="1" t="n">
        <v>45586</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26975-2019</t>
        </is>
      </c>
      <c r="B1214" s="1" t="n">
        <v>43609</v>
      </c>
      <c r="C1214" s="1" t="n">
        <v>45586</v>
      </c>
      <c r="D1214" t="inlineStr">
        <is>
          <t>VÄSTRA GÖTALANDS LÄN</t>
        </is>
      </c>
      <c r="E1214" t="inlineStr">
        <is>
          <t>SVENLJUNGA</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26233-2019</t>
        </is>
      </c>
      <c r="B1215" s="1" t="n">
        <v>43609</v>
      </c>
      <c r="C1215" s="1" t="n">
        <v>45586</v>
      </c>
      <c r="D1215" t="inlineStr">
        <is>
          <t>VÄSTRA GÖTALANDS LÄN</t>
        </is>
      </c>
      <c r="E1215" t="inlineStr">
        <is>
          <t>VARA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26257-2019</t>
        </is>
      </c>
      <c r="B1216" s="1" t="n">
        <v>43610</v>
      </c>
      <c r="C1216" s="1" t="n">
        <v>45586</v>
      </c>
      <c r="D1216" t="inlineStr">
        <is>
          <t>VÄSTRA GÖTALANDS LÄN</t>
        </is>
      </c>
      <c r="E1216" t="inlineStr">
        <is>
          <t>HJO</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26262-2019</t>
        </is>
      </c>
      <c r="B1217" s="1" t="n">
        <v>43610</v>
      </c>
      <c r="C1217" s="1" t="n">
        <v>45586</v>
      </c>
      <c r="D1217" t="inlineStr">
        <is>
          <t>VÄSTRA GÖTALANDS LÄN</t>
        </is>
      </c>
      <c r="E1217" t="inlineStr">
        <is>
          <t>DALS-ED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26419-2019</t>
        </is>
      </c>
      <c r="B1218" s="1" t="n">
        <v>43612</v>
      </c>
      <c r="C1218" s="1" t="n">
        <v>45586</v>
      </c>
      <c r="D1218" t="inlineStr">
        <is>
          <t>VÄSTRA GÖTALANDS LÄN</t>
        </is>
      </c>
      <c r="E1218" t="inlineStr">
        <is>
          <t>FALKÖPING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26386-2019</t>
        </is>
      </c>
      <c r="B1219" s="1" t="n">
        <v>43612</v>
      </c>
      <c r="C1219" s="1" t="n">
        <v>45586</v>
      </c>
      <c r="D1219" t="inlineStr">
        <is>
          <t>VÄSTRA GÖTALANDS LÄN</t>
        </is>
      </c>
      <c r="E1219" t="inlineStr">
        <is>
          <t>ALINGSÅS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26418-2019</t>
        </is>
      </c>
      <c r="B1220" s="1" t="n">
        <v>43612</v>
      </c>
      <c r="C1220" s="1" t="n">
        <v>45586</v>
      </c>
      <c r="D1220" t="inlineStr">
        <is>
          <t>VÄSTRA GÖTALANDS LÄN</t>
        </is>
      </c>
      <c r="E1220" t="inlineStr">
        <is>
          <t>SKARA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26473-2019</t>
        </is>
      </c>
      <c r="B1221" s="1" t="n">
        <v>43612</v>
      </c>
      <c r="C1221" s="1" t="n">
        <v>45586</v>
      </c>
      <c r="D1221" t="inlineStr">
        <is>
          <t>VÄSTRA GÖTALANDS LÄN</t>
        </is>
      </c>
      <c r="E1221" t="inlineStr">
        <is>
          <t>MELLERUD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26570-2019</t>
        </is>
      </c>
      <c r="B1222" s="1" t="n">
        <v>43612</v>
      </c>
      <c r="C1222" s="1" t="n">
        <v>45586</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26577-2019</t>
        </is>
      </c>
      <c r="B1223" s="1" t="n">
        <v>43612</v>
      </c>
      <c r="C1223" s="1" t="n">
        <v>45586</v>
      </c>
      <c r="D1223" t="inlineStr">
        <is>
          <t>VÄSTRA GÖTALANDS LÄN</t>
        </is>
      </c>
      <c r="E1223" t="inlineStr">
        <is>
          <t>SKARA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26603-2019</t>
        </is>
      </c>
      <c r="B1224" s="1" t="n">
        <v>43612</v>
      </c>
      <c r="C1224" s="1" t="n">
        <v>45586</v>
      </c>
      <c r="D1224" t="inlineStr">
        <is>
          <t>VÄSTRA GÖTALANDS LÄN</t>
        </is>
      </c>
      <c r="E1224" t="inlineStr">
        <is>
          <t>MARK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26599-2019</t>
        </is>
      </c>
      <c r="B1225" s="1" t="n">
        <v>43612</v>
      </c>
      <c r="C1225" s="1" t="n">
        <v>45586</v>
      </c>
      <c r="D1225" t="inlineStr">
        <is>
          <t>VÄSTRA GÖTALANDS LÄN</t>
        </is>
      </c>
      <c r="E1225" t="inlineStr">
        <is>
          <t>SKARA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27897-2019</t>
        </is>
      </c>
      <c r="B1226" s="1" t="n">
        <v>43612</v>
      </c>
      <c r="C1226" s="1" t="n">
        <v>45586</v>
      </c>
      <c r="D1226" t="inlineStr">
        <is>
          <t>VÄSTRA GÖTALANDS LÄN</t>
        </is>
      </c>
      <c r="E1226" t="inlineStr">
        <is>
          <t>TROLLHÄTTAN</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27112-2019</t>
        </is>
      </c>
      <c r="B1227" s="1" t="n">
        <v>43612</v>
      </c>
      <c r="C1227" s="1" t="n">
        <v>45586</v>
      </c>
      <c r="D1227" t="inlineStr">
        <is>
          <t>VÄSTRA GÖTALANDS LÄN</t>
        </is>
      </c>
      <c r="E1227" t="inlineStr">
        <is>
          <t>DALS-ED</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26387-2019</t>
        </is>
      </c>
      <c r="B1228" s="1" t="n">
        <v>43612</v>
      </c>
      <c r="C1228" s="1" t="n">
        <v>45586</v>
      </c>
      <c r="D1228" t="inlineStr">
        <is>
          <t>VÄSTRA GÖTALANDS LÄN</t>
        </is>
      </c>
      <c r="E1228" t="inlineStr">
        <is>
          <t>ALINGSÅS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26329-2019</t>
        </is>
      </c>
      <c r="B1229" s="1" t="n">
        <v>43612</v>
      </c>
      <c r="C1229" s="1" t="n">
        <v>45586</v>
      </c>
      <c r="D1229" t="inlineStr">
        <is>
          <t>VÄSTRA GÖTALANDS LÄN</t>
        </is>
      </c>
      <c r="E1229" t="inlineStr">
        <is>
          <t>MARK</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26318-2019</t>
        </is>
      </c>
      <c r="B1230" s="1" t="n">
        <v>43612</v>
      </c>
      <c r="C1230" s="1" t="n">
        <v>45586</v>
      </c>
      <c r="D1230" t="inlineStr">
        <is>
          <t>VÄSTRA GÖTALANDS LÄN</t>
        </is>
      </c>
      <c r="E1230" t="inlineStr">
        <is>
          <t>MARK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26722-2019</t>
        </is>
      </c>
      <c r="B1231" s="1" t="n">
        <v>43613</v>
      </c>
      <c r="C1231" s="1" t="n">
        <v>45586</v>
      </c>
      <c r="D1231" t="inlineStr">
        <is>
          <t>VÄSTRA GÖTALANDS LÄN</t>
        </is>
      </c>
      <c r="E1231" t="inlineStr">
        <is>
          <t>TANUM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26740-2019</t>
        </is>
      </c>
      <c r="B1232" s="1" t="n">
        <v>43613</v>
      </c>
      <c r="C1232" s="1" t="n">
        <v>45586</v>
      </c>
      <c r="D1232" t="inlineStr">
        <is>
          <t>VÄSTRA GÖTALANDS LÄN</t>
        </is>
      </c>
      <c r="E1232" t="inlineStr">
        <is>
          <t>FÄRGELANDA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26839-2019</t>
        </is>
      </c>
      <c r="B1233" s="1" t="n">
        <v>43613</v>
      </c>
      <c r="C1233" s="1" t="n">
        <v>45586</v>
      </c>
      <c r="D1233" t="inlineStr">
        <is>
          <t>VÄSTRA GÖTALANDS LÄN</t>
        </is>
      </c>
      <c r="E1233" t="inlineStr">
        <is>
          <t>GULLSPÅNG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26659-2019</t>
        </is>
      </c>
      <c r="B1234" s="1" t="n">
        <v>43613</v>
      </c>
      <c r="C1234" s="1" t="n">
        <v>45586</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26881-2019</t>
        </is>
      </c>
      <c r="B1235" s="1" t="n">
        <v>43613</v>
      </c>
      <c r="C1235" s="1" t="n">
        <v>45586</v>
      </c>
      <c r="D1235" t="inlineStr">
        <is>
          <t>VÄSTRA GÖTALANDS LÄN</t>
        </is>
      </c>
      <c r="E1235" t="inlineStr">
        <is>
          <t>LILLA EDET</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26728-2019</t>
        </is>
      </c>
      <c r="B1236" s="1" t="n">
        <v>43613</v>
      </c>
      <c r="C1236" s="1" t="n">
        <v>45586</v>
      </c>
      <c r="D1236" t="inlineStr">
        <is>
          <t>VÄSTRA GÖTALANDS LÄN</t>
        </is>
      </c>
      <c r="E1236" t="inlineStr">
        <is>
          <t>TANUM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26804-2019</t>
        </is>
      </c>
      <c r="B1237" s="1" t="n">
        <v>43613</v>
      </c>
      <c r="C1237" s="1" t="n">
        <v>45586</v>
      </c>
      <c r="D1237" t="inlineStr">
        <is>
          <t>VÄSTRA GÖTALANDS LÄN</t>
        </is>
      </c>
      <c r="E1237" t="inlineStr">
        <is>
          <t>BENGTSFORS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26932-2019</t>
        </is>
      </c>
      <c r="B1238" s="1" t="n">
        <v>43613</v>
      </c>
      <c r="C1238" s="1" t="n">
        <v>45586</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27019-2019</t>
        </is>
      </c>
      <c r="B1239" s="1" t="n">
        <v>43613</v>
      </c>
      <c r="C1239" s="1" t="n">
        <v>45586</v>
      </c>
      <c r="D1239" t="inlineStr">
        <is>
          <t>VÄSTRA GÖTALANDS LÄN</t>
        </is>
      </c>
      <c r="E1239" t="inlineStr">
        <is>
          <t>BENGTSFORS</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28033-2019</t>
        </is>
      </c>
      <c r="B1240" s="1" t="n">
        <v>43613</v>
      </c>
      <c r="C1240" s="1" t="n">
        <v>45586</v>
      </c>
      <c r="D1240" t="inlineStr">
        <is>
          <t>VÄSTRA GÖTALANDS LÄN</t>
        </is>
      </c>
      <c r="E1240" t="inlineStr">
        <is>
          <t>KARLSBORG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28158-2019</t>
        </is>
      </c>
      <c r="B1241" s="1" t="n">
        <v>43613</v>
      </c>
      <c r="C1241" s="1" t="n">
        <v>45586</v>
      </c>
      <c r="D1241" t="inlineStr">
        <is>
          <t>VÄSTRA GÖTALANDS LÄN</t>
        </is>
      </c>
      <c r="E1241" t="inlineStr">
        <is>
          <t>STRÖMSTAD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26684-2019</t>
        </is>
      </c>
      <c r="B1242" s="1" t="n">
        <v>43613</v>
      </c>
      <c r="C1242" s="1" t="n">
        <v>45586</v>
      </c>
      <c r="D1242" t="inlineStr">
        <is>
          <t>VÄSTRA GÖTALANDS LÄN</t>
        </is>
      </c>
      <c r="E1242" t="inlineStr">
        <is>
          <t>VARA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26801-2019</t>
        </is>
      </c>
      <c r="B1243" s="1" t="n">
        <v>43613</v>
      </c>
      <c r="C1243" s="1" t="n">
        <v>45586</v>
      </c>
      <c r="D1243" t="inlineStr">
        <is>
          <t>VÄSTRA GÖTALANDS LÄN</t>
        </is>
      </c>
      <c r="E1243" t="inlineStr">
        <is>
          <t>MARIESTAD</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26803-2019</t>
        </is>
      </c>
      <c r="B1244" s="1" t="n">
        <v>43613</v>
      </c>
      <c r="C1244" s="1" t="n">
        <v>45586</v>
      </c>
      <c r="D1244" t="inlineStr">
        <is>
          <t>VÄSTRA GÖTALANDS LÄN</t>
        </is>
      </c>
      <c r="E1244" t="inlineStr">
        <is>
          <t>MARIESTAD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26799-2019</t>
        </is>
      </c>
      <c r="B1245" s="1" t="n">
        <v>43613</v>
      </c>
      <c r="C1245" s="1" t="n">
        <v>45586</v>
      </c>
      <c r="D1245" t="inlineStr">
        <is>
          <t>VÄSTRA GÖTALANDS LÄN</t>
        </is>
      </c>
      <c r="E1245" t="inlineStr">
        <is>
          <t>MARIESTAD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27148-2019</t>
        </is>
      </c>
      <c r="B1246" s="1" t="n">
        <v>43614</v>
      </c>
      <c r="C1246" s="1" t="n">
        <v>45586</v>
      </c>
      <c r="D1246" t="inlineStr">
        <is>
          <t>VÄSTRA GÖTALANDS LÄN</t>
        </is>
      </c>
      <c r="E1246" t="inlineStr">
        <is>
          <t>LIDKÖPING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27100-2019</t>
        </is>
      </c>
      <c r="B1247" s="1" t="n">
        <v>43614</v>
      </c>
      <c r="C1247" s="1" t="n">
        <v>45586</v>
      </c>
      <c r="D1247" t="inlineStr">
        <is>
          <t>VÄSTRA GÖTALANDS LÄN</t>
        </is>
      </c>
      <c r="E1247" t="inlineStr">
        <is>
          <t>TANUM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27175-2019</t>
        </is>
      </c>
      <c r="B1248" s="1" t="n">
        <v>43614</v>
      </c>
      <c r="C1248" s="1" t="n">
        <v>45586</v>
      </c>
      <c r="D1248" t="inlineStr">
        <is>
          <t>VÄSTRA GÖTALANDS LÄN</t>
        </is>
      </c>
      <c r="E1248" t="inlineStr">
        <is>
          <t>GÖTENE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27173-2019</t>
        </is>
      </c>
      <c r="B1249" s="1" t="n">
        <v>43614</v>
      </c>
      <c r="C1249" s="1" t="n">
        <v>45586</v>
      </c>
      <c r="D1249" t="inlineStr">
        <is>
          <t>VÄSTRA GÖTALANDS LÄN</t>
        </is>
      </c>
      <c r="E1249" t="inlineStr">
        <is>
          <t>TÖREBODA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27177-2019</t>
        </is>
      </c>
      <c r="B1250" s="1" t="n">
        <v>43614</v>
      </c>
      <c r="C1250" s="1" t="n">
        <v>45586</v>
      </c>
      <c r="D1250" t="inlineStr">
        <is>
          <t>VÄSTRA GÖTALANDS LÄN</t>
        </is>
      </c>
      <c r="E1250" t="inlineStr">
        <is>
          <t>TÖREBODA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27153-2019</t>
        </is>
      </c>
      <c r="B1251" s="1" t="n">
        <v>43614</v>
      </c>
      <c r="C1251" s="1" t="n">
        <v>45586</v>
      </c>
      <c r="D1251" t="inlineStr">
        <is>
          <t>VÄSTRA GÖTALANDS LÄN</t>
        </is>
      </c>
      <c r="E1251" t="inlineStr">
        <is>
          <t>BENGTSFORS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27097-2019</t>
        </is>
      </c>
      <c r="B1252" s="1" t="n">
        <v>43614</v>
      </c>
      <c r="C1252" s="1" t="n">
        <v>45586</v>
      </c>
      <c r="D1252" t="inlineStr">
        <is>
          <t>VÄSTRA GÖTALANDS LÄN</t>
        </is>
      </c>
      <c r="E1252" t="inlineStr">
        <is>
          <t>TIDAHOLM</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28644-2019</t>
        </is>
      </c>
      <c r="B1253" s="1" t="n">
        <v>43614</v>
      </c>
      <c r="C1253" s="1" t="n">
        <v>45586</v>
      </c>
      <c r="D1253" t="inlineStr">
        <is>
          <t>VÄSTRA GÖTALANDS LÄN</t>
        </is>
      </c>
      <c r="E1253" t="inlineStr">
        <is>
          <t>FALKÖPING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27024-2019</t>
        </is>
      </c>
      <c r="B1254" s="1" t="n">
        <v>43614</v>
      </c>
      <c r="C1254" s="1" t="n">
        <v>45586</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27485-2019</t>
        </is>
      </c>
      <c r="B1255" s="1" t="n">
        <v>43614</v>
      </c>
      <c r="C1255" s="1" t="n">
        <v>45586</v>
      </c>
      <c r="D1255" t="inlineStr">
        <is>
          <t>VÄSTRA GÖTALANDS LÄN</t>
        </is>
      </c>
      <c r="E1255" t="inlineStr">
        <is>
          <t>GULLSPÅNG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27053-2019</t>
        </is>
      </c>
      <c r="B1256" s="1" t="n">
        <v>43614</v>
      </c>
      <c r="C1256" s="1" t="n">
        <v>45586</v>
      </c>
      <c r="D1256" t="inlineStr">
        <is>
          <t>VÄSTRA GÖTALANDS LÄN</t>
        </is>
      </c>
      <c r="E1256" t="inlineStr">
        <is>
          <t>LIDKÖPING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27299-2019</t>
        </is>
      </c>
      <c r="B1257" s="1" t="n">
        <v>43616</v>
      </c>
      <c r="C1257" s="1" t="n">
        <v>45586</v>
      </c>
      <c r="D1257" t="inlineStr">
        <is>
          <t>VÄSTRA GÖTALANDS LÄN</t>
        </is>
      </c>
      <c r="E1257" t="inlineStr">
        <is>
          <t>HERRLJUNGA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27359-2019</t>
        </is>
      </c>
      <c r="B1258" s="1" t="n">
        <v>43616</v>
      </c>
      <c r="C1258" s="1" t="n">
        <v>45586</v>
      </c>
      <c r="D1258" t="inlineStr">
        <is>
          <t>VÄSTRA GÖTALANDS LÄN</t>
        </is>
      </c>
      <c r="E1258" t="inlineStr">
        <is>
          <t>TRANEMO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27291-2019</t>
        </is>
      </c>
      <c r="B1259" s="1" t="n">
        <v>43616</v>
      </c>
      <c r="C1259" s="1" t="n">
        <v>45586</v>
      </c>
      <c r="D1259" t="inlineStr">
        <is>
          <t>VÄSTRA GÖTALANDS LÄN</t>
        </is>
      </c>
      <c r="E1259" t="inlineStr">
        <is>
          <t>ÅMÅL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27360-2019</t>
        </is>
      </c>
      <c r="B1260" s="1" t="n">
        <v>43616</v>
      </c>
      <c r="C1260" s="1" t="n">
        <v>45586</v>
      </c>
      <c r="D1260" t="inlineStr">
        <is>
          <t>VÄSTRA GÖTALANDS LÄN</t>
        </is>
      </c>
      <c r="E1260" t="inlineStr">
        <is>
          <t>FÄRGELANDA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27309-2019</t>
        </is>
      </c>
      <c r="B1261" s="1" t="n">
        <v>43616</v>
      </c>
      <c r="C1261" s="1" t="n">
        <v>45586</v>
      </c>
      <c r="D1261" t="inlineStr">
        <is>
          <t>VÄSTRA GÖTALANDS LÄN</t>
        </is>
      </c>
      <c r="E1261" t="inlineStr">
        <is>
          <t>VÅRGÅRDA</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27286-2019</t>
        </is>
      </c>
      <c r="B1262" s="1" t="n">
        <v>43616</v>
      </c>
      <c r="C1262" s="1" t="n">
        <v>45586</v>
      </c>
      <c r="D1262" t="inlineStr">
        <is>
          <t>VÄSTRA GÖTALANDS LÄN</t>
        </is>
      </c>
      <c r="E1262" t="inlineStr">
        <is>
          <t>UDDEVALLA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28748-2019</t>
        </is>
      </c>
      <c r="B1263" s="1" t="n">
        <v>43616</v>
      </c>
      <c r="C1263" s="1" t="n">
        <v>45586</v>
      </c>
      <c r="D1263" t="inlineStr">
        <is>
          <t>VÄSTRA GÖTALANDS LÄN</t>
        </is>
      </c>
      <c r="E1263" t="inlineStr">
        <is>
          <t>GULLSPÅNG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27358-2019</t>
        </is>
      </c>
      <c r="B1264" s="1" t="n">
        <v>43616</v>
      </c>
      <c r="C1264" s="1" t="n">
        <v>45586</v>
      </c>
      <c r="D1264" t="inlineStr">
        <is>
          <t>VÄSTRA GÖTALANDS LÄN</t>
        </is>
      </c>
      <c r="E1264" t="inlineStr">
        <is>
          <t>TRANEMO</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27454-2019</t>
        </is>
      </c>
      <c r="B1265" s="1" t="n">
        <v>43618</v>
      </c>
      <c r="C1265" s="1" t="n">
        <v>45586</v>
      </c>
      <c r="D1265" t="inlineStr">
        <is>
          <t>VÄSTRA GÖTALANDS LÄN</t>
        </is>
      </c>
      <c r="E1265" t="inlineStr">
        <is>
          <t>FÄRGELANDA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27465-2019</t>
        </is>
      </c>
      <c r="B1266" s="1" t="n">
        <v>43618</v>
      </c>
      <c r="C1266" s="1" t="n">
        <v>45586</v>
      </c>
      <c r="D1266" t="inlineStr">
        <is>
          <t>VÄSTRA GÖTALANDS LÄN</t>
        </is>
      </c>
      <c r="E1266" t="inlineStr">
        <is>
          <t>BENGTSFORS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27463-2019</t>
        </is>
      </c>
      <c r="B1267" s="1" t="n">
        <v>43618</v>
      </c>
      <c r="C1267" s="1" t="n">
        <v>45586</v>
      </c>
      <c r="D1267" t="inlineStr">
        <is>
          <t>VÄSTRA GÖTALANDS LÄN</t>
        </is>
      </c>
      <c r="E1267" t="inlineStr">
        <is>
          <t>BENGTSFORS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27543-2019</t>
        </is>
      </c>
      <c r="B1268" s="1" t="n">
        <v>43619</v>
      </c>
      <c r="C1268" s="1" t="n">
        <v>45586</v>
      </c>
      <c r="D1268" t="inlineStr">
        <is>
          <t>VÄSTRA GÖTALANDS LÄN</t>
        </is>
      </c>
      <c r="E1268" t="inlineStr">
        <is>
          <t>FALKÖPING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27481-2019</t>
        </is>
      </c>
      <c r="B1269" s="1" t="n">
        <v>43619</v>
      </c>
      <c r="C1269" s="1" t="n">
        <v>45586</v>
      </c>
      <c r="D1269" t="inlineStr">
        <is>
          <t>VÄSTRA GÖTALANDS LÄN</t>
        </is>
      </c>
      <c r="E1269" t="inlineStr">
        <is>
          <t>TROLLHÄTTAN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27517-2019</t>
        </is>
      </c>
      <c r="B1270" s="1" t="n">
        <v>43619</v>
      </c>
      <c r="C1270" s="1" t="n">
        <v>45586</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27694-2019</t>
        </is>
      </c>
      <c r="B1271" s="1" t="n">
        <v>43619</v>
      </c>
      <c r="C1271" s="1" t="n">
        <v>45586</v>
      </c>
      <c r="D1271" t="inlineStr">
        <is>
          <t>VÄSTRA GÖTALANDS LÄN</t>
        </is>
      </c>
      <c r="E1271" t="inlineStr">
        <is>
          <t>HJO</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27484-2019</t>
        </is>
      </c>
      <c r="B1272" s="1" t="n">
        <v>43619</v>
      </c>
      <c r="C1272" s="1" t="n">
        <v>45586</v>
      </c>
      <c r="D1272" t="inlineStr">
        <is>
          <t>VÄSTRA GÖTALANDS LÄN</t>
        </is>
      </c>
      <c r="E1272" t="inlineStr">
        <is>
          <t>BENGTSFORS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27646-2019</t>
        </is>
      </c>
      <c r="B1273" s="1" t="n">
        <v>43619</v>
      </c>
      <c r="C1273" s="1" t="n">
        <v>45586</v>
      </c>
      <c r="D1273" t="inlineStr">
        <is>
          <t>VÄSTRA GÖTALANDS LÄN</t>
        </is>
      </c>
      <c r="E1273" t="inlineStr">
        <is>
          <t>SKARA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27730-2019</t>
        </is>
      </c>
      <c r="B1274" s="1" t="n">
        <v>43619</v>
      </c>
      <c r="C1274" s="1" t="n">
        <v>45586</v>
      </c>
      <c r="D1274" t="inlineStr">
        <is>
          <t>VÄSTRA GÖTALANDS LÄN</t>
        </is>
      </c>
      <c r="E1274" t="inlineStr">
        <is>
          <t>FÄRGELANDA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28915-2019</t>
        </is>
      </c>
      <c r="B1275" s="1" t="n">
        <v>43619</v>
      </c>
      <c r="C1275" s="1" t="n">
        <v>45586</v>
      </c>
      <c r="D1275" t="inlineStr">
        <is>
          <t>VÄSTRA GÖTALANDS LÄN</t>
        </is>
      </c>
      <c r="E1275" t="inlineStr">
        <is>
          <t>TIDAHOLM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27648-2019</t>
        </is>
      </c>
      <c r="B1276" s="1" t="n">
        <v>43619</v>
      </c>
      <c r="C1276" s="1" t="n">
        <v>45586</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27520-2019</t>
        </is>
      </c>
      <c r="B1277" s="1" t="n">
        <v>43619</v>
      </c>
      <c r="C1277" s="1" t="n">
        <v>45586</v>
      </c>
      <c r="D1277" t="inlineStr">
        <is>
          <t>VÄSTRA GÖTALANDS LÄN</t>
        </is>
      </c>
      <c r="E1277" t="inlineStr">
        <is>
          <t>UDDEVALLA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27831-2019</t>
        </is>
      </c>
      <c r="B1278" s="1" t="n">
        <v>43620</v>
      </c>
      <c r="C1278" s="1" t="n">
        <v>45586</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27882-2019</t>
        </is>
      </c>
      <c r="B1279" s="1" t="n">
        <v>43620</v>
      </c>
      <c r="C1279" s="1" t="n">
        <v>45586</v>
      </c>
      <c r="D1279" t="inlineStr">
        <is>
          <t>VÄSTRA GÖTALANDS LÄN</t>
        </is>
      </c>
      <c r="E1279" t="inlineStr">
        <is>
          <t>FALKÖPING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27943-2019</t>
        </is>
      </c>
      <c r="B1280" s="1" t="n">
        <v>43620</v>
      </c>
      <c r="C1280" s="1" t="n">
        <v>45586</v>
      </c>
      <c r="D1280" t="inlineStr">
        <is>
          <t>VÄSTRA GÖTALANDS LÄN</t>
        </is>
      </c>
      <c r="E1280" t="inlineStr">
        <is>
          <t>ALINGSÅS</t>
        </is>
      </c>
      <c r="F1280" t="inlineStr">
        <is>
          <t>Kyrkan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27829-2019</t>
        </is>
      </c>
      <c r="B1281" s="1" t="n">
        <v>43620</v>
      </c>
      <c r="C1281" s="1" t="n">
        <v>45586</v>
      </c>
      <c r="D1281" t="inlineStr">
        <is>
          <t>VÄSTRA GÖTALANDS LÄN</t>
        </is>
      </c>
      <c r="E1281" t="inlineStr">
        <is>
          <t>FÄRGELANDA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27826-2019</t>
        </is>
      </c>
      <c r="B1282" s="1" t="n">
        <v>43620</v>
      </c>
      <c r="C1282" s="1" t="n">
        <v>45586</v>
      </c>
      <c r="D1282" t="inlineStr">
        <is>
          <t>VÄSTRA GÖTALANDS LÄN</t>
        </is>
      </c>
      <c r="E1282" t="inlineStr">
        <is>
          <t>SVENLJUNGA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27825-2019</t>
        </is>
      </c>
      <c r="B1283" s="1" t="n">
        <v>43620</v>
      </c>
      <c r="C1283" s="1" t="n">
        <v>45586</v>
      </c>
      <c r="D1283" t="inlineStr">
        <is>
          <t>VÄSTRA GÖTALANDS LÄN</t>
        </is>
      </c>
      <c r="E1283" t="inlineStr">
        <is>
          <t>SVENLJUNGA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27871-2019</t>
        </is>
      </c>
      <c r="B1284" s="1" t="n">
        <v>43620</v>
      </c>
      <c r="C1284" s="1" t="n">
        <v>45586</v>
      </c>
      <c r="D1284" t="inlineStr">
        <is>
          <t>VÄSTRA GÖTALANDS LÄN</t>
        </is>
      </c>
      <c r="E1284" t="inlineStr">
        <is>
          <t>VÄNERSBORG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27883-2019</t>
        </is>
      </c>
      <c r="B1285" s="1" t="n">
        <v>43620</v>
      </c>
      <c r="C1285" s="1" t="n">
        <v>45586</v>
      </c>
      <c r="D1285" t="inlineStr">
        <is>
          <t>VÄSTRA GÖTALANDS LÄN</t>
        </is>
      </c>
      <c r="E1285" t="inlineStr">
        <is>
          <t>MELLERUD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29008-2019</t>
        </is>
      </c>
      <c r="B1286" s="1" t="n">
        <v>43620</v>
      </c>
      <c r="C1286" s="1" t="n">
        <v>45586</v>
      </c>
      <c r="D1286" t="inlineStr">
        <is>
          <t>VÄSTRA GÖTALANDS LÄN</t>
        </is>
      </c>
      <c r="E1286" t="inlineStr">
        <is>
          <t>SKÖVDE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29000-2019</t>
        </is>
      </c>
      <c r="B1287" s="1" t="n">
        <v>43620</v>
      </c>
      <c r="C1287" s="1" t="n">
        <v>45586</v>
      </c>
      <c r="D1287" t="inlineStr">
        <is>
          <t>VÄSTRA GÖTALANDS LÄN</t>
        </is>
      </c>
      <c r="E1287" t="inlineStr">
        <is>
          <t>VÅRGÅRDA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28912-2019</t>
        </is>
      </c>
      <c r="B1288" s="1" t="n">
        <v>43620</v>
      </c>
      <c r="C1288" s="1" t="n">
        <v>45586</v>
      </c>
      <c r="D1288" t="inlineStr">
        <is>
          <t>VÄSTRA GÖTALANDS LÄN</t>
        </is>
      </c>
      <c r="E1288" t="inlineStr">
        <is>
          <t>MELLERUD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27874-2019</t>
        </is>
      </c>
      <c r="B1289" s="1" t="n">
        <v>43620</v>
      </c>
      <c r="C1289" s="1" t="n">
        <v>45586</v>
      </c>
      <c r="D1289" t="inlineStr">
        <is>
          <t>VÄSTRA GÖTALANDS LÄN</t>
        </is>
      </c>
      <c r="E1289" t="inlineStr">
        <is>
          <t>VÄNERSBORG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27836-2019</t>
        </is>
      </c>
      <c r="B1290" s="1" t="n">
        <v>43620</v>
      </c>
      <c r="C1290" s="1" t="n">
        <v>45586</v>
      </c>
      <c r="D1290" t="inlineStr">
        <is>
          <t>VÄSTRA GÖTALANDS LÄN</t>
        </is>
      </c>
      <c r="E1290" t="inlineStr">
        <is>
          <t>MELLERUD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27945-2019</t>
        </is>
      </c>
      <c r="B1291" s="1" t="n">
        <v>43620</v>
      </c>
      <c r="C1291" s="1" t="n">
        <v>45586</v>
      </c>
      <c r="D1291" t="inlineStr">
        <is>
          <t>VÄSTRA GÖTALANDS LÄN</t>
        </is>
      </c>
      <c r="E1291" t="inlineStr">
        <is>
          <t>TIDAHOLM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27996-2019</t>
        </is>
      </c>
      <c r="B1292" s="1" t="n">
        <v>43621</v>
      </c>
      <c r="C1292" s="1" t="n">
        <v>45586</v>
      </c>
      <c r="D1292" t="inlineStr">
        <is>
          <t>VÄSTRA GÖTALANDS LÄN</t>
        </is>
      </c>
      <c r="E1292" t="inlineStr">
        <is>
          <t>KARLSBORG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28084-2019</t>
        </is>
      </c>
      <c r="B1293" s="1" t="n">
        <v>43621</v>
      </c>
      <c r="C1293" s="1" t="n">
        <v>45586</v>
      </c>
      <c r="D1293" t="inlineStr">
        <is>
          <t>VÄSTRA GÖTALANDS LÄN</t>
        </is>
      </c>
      <c r="E1293" t="inlineStr">
        <is>
          <t>KARLSBORG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28008-2019</t>
        </is>
      </c>
      <c r="B1294" s="1" t="n">
        <v>43621</v>
      </c>
      <c r="C1294" s="1" t="n">
        <v>45586</v>
      </c>
      <c r="D1294" t="inlineStr">
        <is>
          <t>VÄSTRA GÖTALANDS LÄN</t>
        </is>
      </c>
      <c r="E1294" t="inlineStr">
        <is>
          <t>ORUST</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28054-2019</t>
        </is>
      </c>
      <c r="B1295" s="1" t="n">
        <v>43621</v>
      </c>
      <c r="C1295" s="1" t="n">
        <v>45586</v>
      </c>
      <c r="D1295" t="inlineStr">
        <is>
          <t>VÄSTRA GÖTALANDS LÄN</t>
        </is>
      </c>
      <c r="E1295" t="inlineStr">
        <is>
          <t>KARLSBORG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28080-2019</t>
        </is>
      </c>
      <c r="B1296" s="1" t="n">
        <v>43621</v>
      </c>
      <c r="C1296" s="1" t="n">
        <v>45586</v>
      </c>
      <c r="D1296" t="inlineStr">
        <is>
          <t>VÄSTRA GÖTALANDS LÄN</t>
        </is>
      </c>
      <c r="E1296" t="inlineStr">
        <is>
          <t>KARLSBORG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29085-2019</t>
        </is>
      </c>
      <c r="B1297" s="1" t="n">
        <v>43621</v>
      </c>
      <c r="C1297" s="1" t="n">
        <v>45586</v>
      </c>
      <c r="D1297" t="inlineStr">
        <is>
          <t>VÄSTRA GÖTALANDS LÄN</t>
        </is>
      </c>
      <c r="E1297" t="inlineStr">
        <is>
          <t>TIDAHOLM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29190-2019</t>
        </is>
      </c>
      <c r="B1298" s="1" t="n">
        <v>43621</v>
      </c>
      <c r="C1298" s="1" t="n">
        <v>45586</v>
      </c>
      <c r="D1298" t="inlineStr">
        <is>
          <t>VÄSTRA GÖTALANDS LÄN</t>
        </is>
      </c>
      <c r="E1298" t="inlineStr">
        <is>
          <t>ORUST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28183-2019</t>
        </is>
      </c>
      <c r="B1299" s="1" t="n">
        <v>43621</v>
      </c>
      <c r="C1299" s="1" t="n">
        <v>45586</v>
      </c>
      <c r="D1299" t="inlineStr">
        <is>
          <t>VÄSTRA GÖTALANDS LÄN</t>
        </is>
      </c>
      <c r="E1299" t="inlineStr">
        <is>
          <t>MÖLNDAL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28087-2019</t>
        </is>
      </c>
      <c r="B1300" s="1" t="n">
        <v>43621</v>
      </c>
      <c r="C1300" s="1" t="n">
        <v>45586</v>
      </c>
      <c r="D1300" t="inlineStr">
        <is>
          <t>VÄSTRA GÖTALANDS LÄN</t>
        </is>
      </c>
      <c r="E1300" t="inlineStr">
        <is>
          <t>KARLSBORG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28040-2019</t>
        </is>
      </c>
      <c r="B1301" s="1" t="n">
        <v>43621</v>
      </c>
      <c r="C1301" s="1" t="n">
        <v>45586</v>
      </c>
      <c r="D1301" t="inlineStr">
        <is>
          <t>VÄSTRA GÖTALANDS LÄN</t>
        </is>
      </c>
      <c r="E1301" t="inlineStr">
        <is>
          <t>FÄRGELANDA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28015-2019</t>
        </is>
      </c>
      <c r="B1302" s="1" t="n">
        <v>43621</v>
      </c>
      <c r="C1302" s="1" t="n">
        <v>45586</v>
      </c>
      <c r="D1302" t="inlineStr">
        <is>
          <t>VÄSTRA GÖTALANDS LÄN</t>
        </is>
      </c>
      <c r="E1302" t="inlineStr">
        <is>
          <t>ORUST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27997-2019</t>
        </is>
      </c>
      <c r="B1303" s="1" t="n">
        <v>43621</v>
      </c>
      <c r="C1303" s="1" t="n">
        <v>45586</v>
      </c>
      <c r="D1303" t="inlineStr">
        <is>
          <t>VÄSTRA GÖTALANDS LÄN</t>
        </is>
      </c>
      <c r="E1303" t="inlineStr">
        <is>
          <t>KARLSBORG</t>
        </is>
      </c>
      <c r="F1303" t="inlineStr">
        <is>
          <t>Sveaskog</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29188-2019</t>
        </is>
      </c>
      <c r="B1304" s="1" t="n">
        <v>43621</v>
      </c>
      <c r="C1304" s="1" t="n">
        <v>45586</v>
      </c>
      <c r="D1304" t="inlineStr">
        <is>
          <t>VÄSTRA GÖTALANDS LÄN</t>
        </is>
      </c>
      <c r="E1304" t="inlineStr">
        <is>
          <t>ORUST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28187-2019</t>
        </is>
      </c>
      <c r="B1305" s="1" t="n">
        <v>43621</v>
      </c>
      <c r="C1305" s="1" t="n">
        <v>45586</v>
      </c>
      <c r="D1305" t="inlineStr">
        <is>
          <t>VÄSTRA GÖTALANDS LÄN</t>
        </is>
      </c>
      <c r="E1305" t="inlineStr">
        <is>
          <t>ÅMÅL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28011-2019</t>
        </is>
      </c>
      <c r="B1306" s="1" t="n">
        <v>43621</v>
      </c>
      <c r="C1306" s="1" t="n">
        <v>45586</v>
      </c>
      <c r="D1306" t="inlineStr">
        <is>
          <t>VÄSTRA GÖTALANDS LÄN</t>
        </is>
      </c>
      <c r="E1306" t="inlineStr">
        <is>
          <t>ORUST</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28253-2019</t>
        </is>
      </c>
      <c r="B1307" s="1" t="n">
        <v>43623</v>
      </c>
      <c r="C1307" s="1" t="n">
        <v>45586</v>
      </c>
      <c r="D1307" t="inlineStr">
        <is>
          <t>VÄSTRA GÖTALANDS LÄN</t>
        </is>
      </c>
      <c r="E1307" t="inlineStr">
        <is>
          <t>SKÖVDE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28254-2019</t>
        </is>
      </c>
      <c r="B1308" s="1" t="n">
        <v>43623</v>
      </c>
      <c r="C1308" s="1" t="n">
        <v>45586</v>
      </c>
      <c r="D1308" t="inlineStr">
        <is>
          <t>VÄSTRA GÖTALANDS LÄN</t>
        </is>
      </c>
      <c r="E1308" t="inlineStr">
        <is>
          <t>SKÖVDE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28317-2019</t>
        </is>
      </c>
      <c r="B1309" s="1" t="n">
        <v>43623</v>
      </c>
      <c r="C1309" s="1" t="n">
        <v>45586</v>
      </c>
      <c r="D1309" t="inlineStr">
        <is>
          <t>VÄSTRA GÖTALANDS LÄN</t>
        </is>
      </c>
      <c r="E1309" t="inlineStr">
        <is>
          <t>STRÖMSTAD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28346-2019</t>
        </is>
      </c>
      <c r="B1310" s="1" t="n">
        <v>43624</v>
      </c>
      <c r="C1310" s="1" t="n">
        <v>45586</v>
      </c>
      <c r="D1310" t="inlineStr">
        <is>
          <t>VÄSTRA GÖTALANDS LÄN</t>
        </is>
      </c>
      <c r="E1310" t="inlineStr">
        <is>
          <t>BOLLEBYGD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28362-2019</t>
        </is>
      </c>
      <c r="B1311" s="1" t="n">
        <v>43625</v>
      </c>
      <c r="C1311" s="1" t="n">
        <v>45586</v>
      </c>
      <c r="D1311" t="inlineStr">
        <is>
          <t>VÄSTRA GÖTALANDS LÄN</t>
        </is>
      </c>
      <c r="E1311" t="inlineStr">
        <is>
          <t>MARK</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28440-2019</t>
        </is>
      </c>
      <c r="B1312" s="1" t="n">
        <v>43626</v>
      </c>
      <c r="C1312" s="1" t="n">
        <v>45586</v>
      </c>
      <c r="D1312" t="inlineStr">
        <is>
          <t>VÄSTRA GÖTALANDS LÄN</t>
        </is>
      </c>
      <c r="E1312" t="inlineStr">
        <is>
          <t>TIDAHOLM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28420-2019</t>
        </is>
      </c>
      <c r="B1313" s="1" t="n">
        <v>43626</v>
      </c>
      <c r="C1313" s="1" t="n">
        <v>45586</v>
      </c>
      <c r="D1313" t="inlineStr">
        <is>
          <t>VÄSTRA GÖTALANDS LÄN</t>
        </is>
      </c>
      <c r="E1313" t="inlineStr">
        <is>
          <t>STENUNGSUND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28391-2019</t>
        </is>
      </c>
      <c r="B1314" s="1" t="n">
        <v>43626</v>
      </c>
      <c r="C1314" s="1" t="n">
        <v>45586</v>
      </c>
      <c r="D1314" t="inlineStr">
        <is>
          <t>VÄSTRA GÖTALANDS LÄN</t>
        </is>
      </c>
      <c r="E1314" t="inlineStr">
        <is>
          <t>BORÅS</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28427-2019</t>
        </is>
      </c>
      <c r="B1315" s="1" t="n">
        <v>43626</v>
      </c>
      <c r="C1315" s="1" t="n">
        <v>45586</v>
      </c>
      <c r="D1315" t="inlineStr">
        <is>
          <t>VÄSTRA GÖTALANDS LÄN</t>
        </is>
      </c>
      <c r="E1315" t="inlineStr">
        <is>
          <t>STENUNGSUND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28480-2019</t>
        </is>
      </c>
      <c r="B1316" s="1" t="n">
        <v>43626</v>
      </c>
      <c r="C1316" s="1" t="n">
        <v>45586</v>
      </c>
      <c r="D1316" t="inlineStr">
        <is>
          <t>VÄSTRA GÖTALANDS LÄN</t>
        </is>
      </c>
      <c r="E1316" t="inlineStr">
        <is>
          <t>ULRICEHAMN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28505-2019</t>
        </is>
      </c>
      <c r="B1317" s="1" t="n">
        <v>43626</v>
      </c>
      <c r="C1317" s="1" t="n">
        <v>45586</v>
      </c>
      <c r="D1317" t="inlineStr">
        <is>
          <t>VÄSTRA GÖTALANDS LÄN</t>
        </is>
      </c>
      <c r="E1317" t="inlineStr">
        <is>
          <t>TRANEMO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28478-2019</t>
        </is>
      </c>
      <c r="B1318" s="1" t="n">
        <v>43626</v>
      </c>
      <c r="C1318" s="1" t="n">
        <v>45586</v>
      </c>
      <c r="D1318" t="inlineStr">
        <is>
          <t>VÄSTRA GÖTALANDS LÄN</t>
        </is>
      </c>
      <c r="E1318" t="inlineStr">
        <is>
          <t>SVENLJUNGA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28485-2019</t>
        </is>
      </c>
      <c r="B1319" s="1" t="n">
        <v>43626</v>
      </c>
      <c r="C1319" s="1" t="n">
        <v>45586</v>
      </c>
      <c r="D1319" t="inlineStr">
        <is>
          <t>VÄSTRA GÖTALANDS LÄN</t>
        </is>
      </c>
      <c r="E1319" t="inlineStr">
        <is>
          <t>SVENLJUNGA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28654-2019</t>
        </is>
      </c>
      <c r="B1320" s="1" t="n">
        <v>43627</v>
      </c>
      <c r="C1320" s="1" t="n">
        <v>45586</v>
      </c>
      <c r="D1320" t="inlineStr">
        <is>
          <t>VÄSTRA GÖTALANDS LÄN</t>
        </is>
      </c>
      <c r="E1320" t="inlineStr">
        <is>
          <t>BENGTSFORS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28703-2019</t>
        </is>
      </c>
      <c r="B1321" s="1" t="n">
        <v>43627</v>
      </c>
      <c r="C1321" s="1" t="n">
        <v>45586</v>
      </c>
      <c r="D1321" t="inlineStr">
        <is>
          <t>VÄSTRA GÖTALANDS LÄN</t>
        </is>
      </c>
      <c r="E1321" t="inlineStr">
        <is>
          <t>BORÅS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28790-2019</t>
        </is>
      </c>
      <c r="B1322" s="1" t="n">
        <v>43627</v>
      </c>
      <c r="C1322" s="1" t="n">
        <v>45586</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28618-2019</t>
        </is>
      </c>
      <c r="B1323" s="1" t="n">
        <v>43627</v>
      </c>
      <c r="C1323" s="1" t="n">
        <v>45586</v>
      </c>
      <c r="D1323" t="inlineStr">
        <is>
          <t>VÄSTRA GÖTALANDS LÄN</t>
        </is>
      </c>
      <c r="E1323" t="inlineStr">
        <is>
          <t>BORÅS</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28847-2019</t>
        </is>
      </c>
      <c r="B1324" s="1" t="n">
        <v>43627</v>
      </c>
      <c r="C1324" s="1" t="n">
        <v>45586</v>
      </c>
      <c r="D1324" t="inlineStr">
        <is>
          <t>VÄSTRA GÖTALANDS LÄN</t>
        </is>
      </c>
      <c r="E1324" t="inlineStr">
        <is>
          <t>MARIESTAD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29521-2019</t>
        </is>
      </c>
      <c r="B1325" s="1" t="n">
        <v>43627</v>
      </c>
      <c r="C1325" s="1" t="n">
        <v>45586</v>
      </c>
      <c r="D1325" t="inlineStr">
        <is>
          <t>VÄSTRA GÖTALANDS LÄN</t>
        </is>
      </c>
      <c r="E1325" t="inlineStr">
        <is>
          <t>MARK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28842-2019</t>
        </is>
      </c>
      <c r="B1326" s="1" t="n">
        <v>43627</v>
      </c>
      <c r="C1326" s="1" t="n">
        <v>45586</v>
      </c>
      <c r="D1326" t="inlineStr">
        <is>
          <t>VÄSTRA GÖTALANDS LÄN</t>
        </is>
      </c>
      <c r="E1326" t="inlineStr">
        <is>
          <t>VARA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29040-2019</t>
        </is>
      </c>
      <c r="B1327" s="1" t="n">
        <v>43628</v>
      </c>
      <c r="C1327" s="1" t="n">
        <v>45586</v>
      </c>
      <c r="D1327" t="inlineStr">
        <is>
          <t>VÄSTRA GÖTALANDS LÄN</t>
        </is>
      </c>
      <c r="E1327" t="inlineStr">
        <is>
          <t>ALINGSÅS</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29131-2019</t>
        </is>
      </c>
      <c r="B1328" s="1" t="n">
        <v>43628</v>
      </c>
      <c r="C1328" s="1" t="n">
        <v>45586</v>
      </c>
      <c r="D1328" t="inlineStr">
        <is>
          <t>VÄSTRA GÖTALANDS LÄN</t>
        </is>
      </c>
      <c r="E1328" t="inlineStr">
        <is>
          <t>LIDKÖPING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29134-2019</t>
        </is>
      </c>
      <c r="B1329" s="1" t="n">
        <v>43628</v>
      </c>
      <c r="C1329" s="1" t="n">
        <v>45586</v>
      </c>
      <c r="D1329" t="inlineStr">
        <is>
          <t>VÄSTRA GÖTALANDS LÄN</t>
        </is>
      </c>
      <c r="E1329" t="inlineStr">
        <is>
          <t>MUNKEDAL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29130-2019</t>
        </is>
      </c>
      <c r="B1330" s="1" t="n">
        <v>43628</v>
      </c>
      <c r="C1330" s="1" t="n">
        <v>45586</v>
      </c>
      <c r="D1330" t="inlineStr">
        <is>
          <t>VÄSTRA GÖTALANDS LÄN</t>
        </is>
      </c>
      <c r="E1330" t="inlineStr">
        <is>
          <t>FALKÖPING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29248-2019</t>
        </is>
      </c>
      <c r="B1331" s="1" t="n">
        <v>43629</v>
      </c>
      <c r="C1331" s="1" t="n">
        <v>45586</v>
      </c>
      <c r="D1331" t="inlineStr">
        <is>
          <t>VÄSTRA GÖTALANDS LÄN</t>
        </is>
      </c>
      <c r="E1331" t="inlineStr">
        <is>
          <t>SKÖVDE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29460-2019</t>
        </is>
      </c>
      <c r="B1332" s="1" t="n">
        <v>43629</v>
      </c>
      <c r="C1332" s="1" t="n">
        <v>45586</v>
      </c>
      <c r="D1332" t="inlineStr">
        <is>
          <t>VÄSTRA GÖTALANDS LÄN</t>
        </is>
      </c>
      <c r="E1332" t="inlineStr">
        <is>
          <t>STRÖMSTAD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29462-2019</t>
        </is>
      </c>
      <c r="B1333" s="1" t="n">
        <v>43629</v>
      </c>
      <c r="C1333" s="1" t="n">
        <v>45586</v>
      </c>
      <c r="D1333" t="inlineStr">
        <is>
          <t>VÄSTRA GÖTALANDS LÄN</t>
        </is>
      </c>
      <c r="E1333" t="inlineStr">
        <is>
          <t>TIDAHOLM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29468-2019</t>
        </is>
      </c>
      <c r="B1334" s="1" t="n">
        <v>43629</v>
      </c>
      <c r="C1334" s="1" t="n">
        <v>45586</v>
      </c>
      <c r="D1334" t="inlineStr">
        <is>
          <t>VÄSTRA GÖTALANDS LÄN</t>
        </is>
      </c>
      <c r="E1334" t="inlineStr">
        <is>
          <t>FÄRGELANDA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29556-2019</t>
        </is>
      </c>
      <c r="B1335" s="1" t="n">
        <v>43630</v>
      </c>
      <c r="C1335" s="1" t="n">
        <v>45586</v>
      </c>
      <c r="D1335" t="inlineStr">
        <is>
          <t>VÄSTRA GÖTALANDS LÄN</t>
        </is>
      </c>
      <c r="E1335" t="inlineStr">
        <is>
          <t>KARLSBORG</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29584-2019</t>
        </is>
      </c>
      <c r="B1336" s="1" t="n">
        <v>43630</v>
      </c>
      <c r="C1336" s="1" t="n">
        <v>45586</v>
      </c>
      <c r="D1336" t="inlineStr">
        <is>
          <t>VÄSTRA GÖTALANDS LÄN</t>
        </is>
      </c>
      <c r="E1336" t="inlineStr">
        <is>
          <t>KARLSBORG</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29571-2019</t>
        </is>
      </c>
      <c r="B1337" s="1" t="n">
        <v>43630</v>
      </c>
      <c r="C1337" s="1" t="n">
        <v>45586</v>
      </c>
      <c r="D1337" t="inlineStr">
        <is>
          <t>VÄSTRA GÖTALANDS LÄN</t>
        </is>
      </c>
      <c r="E1337" t="inlineStr">
        <is>
          <t>KARLSBORG</t>
        </is>
      </c>
      <c r="F1337" t="inlineStr">
        <is>
          <t>Övriga Aktiebolag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29617-2019</t>
        </is>
      </c>
      <c r="B1338" s="1" t="n">
        <v>43630</v>
      </c>
      <c r="C1338" s="1" t="n">
        <v>45586</v>
      </c>
      <c r="D1338" t="inlineStr">
        <is>
          <t>VÄSTRA GÖTALANDS LÄN</t>
        </is>
      </c>
      <c r="E1338" t="inlineStr">
        <is>
          <t>KARLSBORG</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30231-2019</t>
        </is>
      </c>
      <c r="B1339" s="1" t="n">
        <v>43630</v>
      </c>
      <c r="C1339" s="1" t="n">
        <v>45586</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29732-2019</t>
        </is>
      </c>
      <c r="B1340" s="1" t="n">
        <v>43630</v>
      </c>
      <c r="C1340" s="1" t="n">
        <v>45586</v>
      </c>
      <c r="D1340" t="inlineStr">
        <is>
          <t>VÄSTRA GÖTALANDS LÄN</t>
        </is>
      </c>
      <c r="E1340" t="inlineStr">
        <is>
          <t>MELLERUD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29684-2019</t>
        </is>
      </c>
      <c r="B1341" s="1" t="n">
        <v>43630</v>
      </c>
      <c r="C1341" s="1" t="n">
        <v>45586</v>
      </c>
      <c r="D1341" t="inlineStr">
        <is>
          <t>VÄSTRA GÖTALANDS LÄN</t>
        </is>
      </c>
      <c r="E1341" t="inlineStr">
        <is>
          <t>LERUM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29737-2019</t>
        </is>
      </c>
      <c r="B1342" s="1" t="n">
        <v>43630</v>
      </c>
      <c r="C1342" s="1" t="n">
        <v>45586</v>
      </c>
      <c r="D1342" t="inlineStr">
        <is>
          <t>VÄSTRA GÖTALANDS LÄN</t>
        </is>
      </c>
      <c r="E1342" t="inlineStr">
        <is>
          <t>VARA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29733-2019</t>
        </is>
      </c>
      <c r="B1343" s="1" t="n">
        <v>43630</v>
      </c>
      <c r="C1343" s="1" t="n">
        <v>45586</v>
      </c>
      <c r="D1343" t="inlineStr">
        <is>
          <t>VÄSTRA GÖTALANDS LÄN</t>
        </is>
      </c>
      <c r="E1343" t="inlineStr">
        <is>
          <t>MELLERUD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29545-2019</t>
        </is>
      </c>
      <c r="B1344" s="1" t="n">
        <v>43630</v>
      </c>
      <c r="C1344" s="1" t="n">
        <v>45586</v>
      </c>
      <c r="D1344" t="inlineStr">
        <is>
          <t>VÄSTRA GÖTALANDS LÄN</t>
        </is>
      </c>
      <c r="E1344" t="inlineStr">
        <is>
          <t>MUNKEDAL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29727-2019</t>
        </is>
      </c>
      <c r="B1345" s="1" t="n">
        <v>43630</v>
      </c>
      <c r="C1345" s="1" t="n">
        <v>45586</v>
      </c>
      <c r="D1345" t="inlineStr">
        <is>
          <t>VÄSTRA GÖTALANDS LÄN</t>
        </is>
      </c>
      <c r="E1345" t="inlineStr">
        <is>
          <t>TIBRO</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29609-2019</t>
        </is>
      </c>
      <c r="B1346" s="1" t="n">
        <v>43630</v>
      </c>
      <c r="C1346" s="1" t="n">
        <v>45586</v>
      </c>
      <c r="D1346" t="inlineStr">
        <is>
          <t>VÄSTRA GÖTALANDS LÄN</t>
        </is>
      </c>
      <c r="E1346" t="inlineStr">
        <is>
          <t>STENUNGSUND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30273-2019</t>
        </is>
      </c>
      <c r="B1347" s="1" t="n">
        <v>43632</v>
      </c>
      <c r="C1347" s="1" t="n">
        <v>45586</v>
      </c>
      <c r="D1347" t="inlineStr">
        <is>
          <t>VÄSTRA GÖTALANDS LÄN</t>
        </is>
      </c>
      <c r="E1347" t="inlineStr">
        <is>
          <t>MUNKEDAL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30278-2019</t>
        </is>
      </c>
      <c r="B1348" s="1" t="n">
        <v>43632</v>
      </c>
      <c r="C1348" s="1" t="n">
        <v>45586</v>
      </c>
      <c r="D1348" t="inlineStr">
        <is>
          <t>VÄSTRA GÖTALANDS LÄN</t>
        </is>
      </c>
      <c r="E1348" t="inlineStr">
        <is>
          <t>TANUM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29768-2019</t>
        </is>
      </c>
      <c r="B1349" s="1" t="n">
        <v>43632</v>
      </c>
      <c r="C1349" s="1" t="n">
        <v>45586</v>
      </c>
      <c r="D1349" t="inlineStr">
        <is>
          <t>VÄSTRA GÖTALANDS LÄN</t>
        </is>
      </c>
      <c r="E1349" t="inlineStr">
        <is>
          <t>BOLLEBYGD</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29906-2019</t>
        </is>
      </c>
      <c r="B1350" s="1" t="n">
        <v>43633</v>
      </c>
      <c r="C1350" s="1" t="n">
        <v>45586</v>
      </c>
      <c r="D1350" t="inlineStr">
        <is>
          <t>VÄSTRA GÖTALANDS LÄN</t>
        </is>
      </c>
      <c r="E1350" t="inlineStr">
        <is>
          <t>STENUNGSUND</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29830-2019</t>
        </is>
      </c>
      <c r="B1351" s="1" t="n">
        <v>43633</v>
      </c>
      <c r="C1351" s="1" t="n">
        <v>45586</v>
      </c>
      <c r="D1351" t="inlineStr">
        <is>
          <t>VÄSTRA GÖTALANDS LÄN</t>
        </is>
      </c>
      <c r="E1351" t="inlineStr">
        <is>
          <t>VÅRGÅRDA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30098-2019</t>
        </is>
      </c>
      <c r="B1352" s="1" t="n">
        <v>43633</v>
      </c>
      <c r="C1352" s="1" t="n">
        <v>45586</v>
      </c>
      <c r="D1352" t="inlineStr">
        <is>
          <t>VÄSTRA GÖTALANDS LÄN</t>
        </is>
      </c>
      <c r="E1352" t="inlineStr">
        <is>
          <t>BENGTSFORS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30406-2019</t>
        </is>
      </c>
      <c r="B1353" s="1" t="n">
        <v>43633</v>
      </c>
      <c r="C1353" s="1" t="n">
        <v>45586</v>
      </c>
      <c r="D1353" t="inlineStr">
        <is>
          <t>VÄSTRA GÖTALANDS LÄN</t>
        </is>
      </c>
      <c r="E1353" t="inlineStr">
        <is>
          <t>ÅMÅL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30454-2019</t>
        </is>
      </c>
      <c r="B1354" s="1" t="n">
        <v>43633</v>
      </c>
      <c r="C1354" s="1" t="n">
        <v>45586</v>
      </c>
      <c r="D1354" t="inlineStr">
        <is>
          <t>VÄSTRA GÖTALANDS LÄN</t>
        </is>
      </c>
      <c r="E1354" t="inlineStr">
        <is>
          <t>ALINGSÅS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29905-2019</t>
        </is>
      </c>
      <c r="B1355" s="1" t="n">
        <v>43633</v>
      </c>
      <c r="C1355" s="1" t="n">
        <v>45586</v>
      </c>
      <c r="D1355" t="inlineStr">
        <is>
          <t>VÄSTRA GÖTALANDS LÄN</t>
        </is>
      </c>
      <c r="E1355" t="inlineStr">
        <is>
          <t>BENGTSFORS</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30280-2019</t>
        </is>
      </c>
      <c r="B1356" s="1" t="n">
        <v>43633</v>
      </c>
      <c r="C1356" s="1" t="n">
        <v>45586</v>
      </c>
      <c r="D1356" t="inlineStr">
        <is>
          <t>VÄSTRA GÖTALANDS LÄN</t>
        </is>
      </c>
      <c r="E1356" t="inlineStr">
        <is>
          <t>DALS-ED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30494-2019</t>
        </is>
      </c>
      <c r="B1357" s="1" t="n">
        <v>43633</v>
      </c>
      <c r="C1357" s="1" t="n">
        <v>45586</v>
      </c>
      <c r="D1357" t="inlineStr">
        <is>
          <t>VÄSTRA GÖTALANDS LÄN</t>
        </is>
      </c>
      <c r="E1357" t="inlineStr">
        <is>
          <t>SKARA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30458-2019</t>
        </is>
      </c>
      <c r="B1358" s="1" t="n">
        <v>43633</v>
      </c>
      <c r="C1358" s="1" t="n">
        <v>45586</v>
      </c>
      <c r="D1358" t="inlineStr">
        <is>
          <t>VÄSTRA GÖTALANDS LÄN</t>
        </is>
      </c>
      <c r="E1358" t="inlineStr">
        <is>
          <t>DALS-ED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30210-2019</t>
        </is>
      </c>
      <c r="B1359" s="1" t="n">
        <v>43634</v>
      </c>
      <c r="C1359" s="1" t="n">
        <v>45586</v>
      </c>
      <c r="D1359" t="inlineStr">
        <is>
          <t>VÄSTRA GÖTALANDS LÄN</t>
        </is>
      </c>
      <c r="E1359" t="inlineStr">
        <is>
          <t>KARLSBORG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30238-2019</t>
        </is>
      </c>
      <c r="B1360" s="1" t="n">
        <v>43634</v>
      </c>
      <c r="C1360" s="1" t="n">
        <v>45586</v>
      </c>
      <c r="D1360" t="inlineStr">
        <is>
          <t>VÄSTRA GÖTALANDS LÄN</t>
        </is>
      </c>
      <c r="E1360" t="inlineStr">
        <is>
          <t>BOLLEBYGD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30320-2019</t>
        </is>
      </c>
      <c r="B1361" s="1" t="n">
        <v>43634</v>
      </c>
      <c r="C1361" s="1" t="n">
        <v>45586</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30245-2019</t>
        </is>
      </c>
      <c r="B1362" s="1" t="n">
        <v>43634</v>
      </c>
      <c r="C1362" s="1" t="n">
        <v>45586</v>
      </c>
      <c r="D1362" t="inlineStr">
        <is>
          <t>VÄSTRA GÖTALANDS LÄN</t>
        </is>
      </c>
      <c r="E1362" t="inlineStr">
        <is>
          <t>SVENLJUNGA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30453-2019</t>
        </is>
      </c>
      <c r="B1363" s="1" t="n">
        <v>43634</v>
      </c>
      <c r="C1363" s="1" t="n">
        <v>45586</v>
      </c>
      <c r="D1363" t="inlineStr">
        <is>
          <t>VÄSTRA GÖTALANDS LÄN</t>
        </is>
      </c>
      <c r="E1363" t="inlineStr">
        <is>
          <t>KUNGÄLV</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30318-2019</t>
        </is>
      </c>
      <c r="B1364" s="1" t="n">
        <v>43634</v>
      </c>
      <c r="C1364" s="1" t="n">
        <v>45586</v>
      </c>
      <c r="D1364" t="inlineStr">
        <is>
          <t>VÄSTRA GÖTALANDS LÄN</t>
        </is>
      </c>
      <c r="E1364" t="inlineStr">
        <is>
          <t>KARLSBORG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30191-2019</t>
        </is>
      </c>
      <c r="B1365" s="1" t="n">
        <v>43634</v>
      </c>
      <c r="C1365" s="1" t="n">
        <v>45586</v>
      </c>
      <c r="D1365" t="inlineStr">
        <is>
          <t>VÄSTRA GÖTALANDS LÄN</t>
        </is>
      </c>
      <c r="E1365" t="inlineStr">
        <is>
          <t>LILLA EDET</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30311-2019</t>
        </is>
      </c>
      <c r="B1366" s="1" t="n">
        <v>43634</v>
      </c>
      <c r="C1366" s="1" t="n">
        <v>45586</v>
      </c>
      <c r="D1366" t="inlineStr">
        <is>
          <t>VÄSTRA GÖTALANDS LÄN</t>
        </is>
      </c>
      <c r="E1366" t="inlineStr">
        <is>
          <t>KARLSBORG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30444-2019</t>
        </is>
      </c>
      <c r="B1367" s="1" t="n">
        <v>43635</v>
      </c>
      <c r="C1367" s="1" t="n">
        <v>45586</v>
      </c>
      <c r="D1367" t="inlineStr">
        <is>
          <t>VÄSTRA GÖTALANDS LÄN</t>
        </is>
      </c>
      <c r="E1367" t="inlineStr">
        <is>
          <t>ÅMÅL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30516-2019</t>
        </is>
      </c>
      <c r="B1368" s="1" t="n">
        <v>43635</v>
      </c>
      <c r="C1368" s="1" t="n">
        <v>45586</v>
      </c>
      <c r="D1368" t="inlineStr">
        <is>
          <t>VÄSTRA GÖTALANDS LÄN</t>
        </is>
      </c>
      <c r="E1368" t="inlineStr">
        <is>
          <t>ALINGSÅS</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30538-2019</t>
        </is>
      </c>
      <c r="B1369" s="1" t="n">
        <v>43635</v>
      </c>
      <c r="C1369" s="1" t="n">
        <v>45586</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30703-2019</t>
        </is>
      </c>
      <c r="B1370" s="1" t="n">
        <v>43635</v>
      </c>
      <c r="C1370" s="1" t="n">
        <v>45586</v>
      </c>
      <c r="D1370" t="inlineStr">
        <is>
          <t>VÄSTRA GÖTALANDS LÄN</t>
        </is>
      </c>
      <c r="E1370" t="inlineStr">
        <is>
          <t>GÖTENE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30441-2019</t>
        </is>
      </c>
      <c r="B1371" s="1" t="n">
        <v>43635</v>
      </c>
      <c r="C1371" s="1" t="n">
        <v>45586</v>
      </c>
      <c r="D1371" t="inlineStr">
        <is>
          <t>VÄSTRA GÖTALANDS LÄN</t>
        </is>
      </c>
      <c r="E1371" t="inlineStr">
        <is>
          <t>ÅMÅL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30531-2019</t>
        </is>
      </c>
      <c r="B1372" s="1" t="n">
        <v>43635</v>
      </c>
      <c r="C1372" s="1" t="n">
        <v>45586</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30576-2019</t>
        </is>
      </c>
      <c r="B1373" s="1" t="n">
        <v>43635</v>
      </c>
      <c r="C1373" s="1" t="n">
        <v>45586</v>
      </c>
      <c r="D1373" t="inlineStr">
        <is>
          <t>VÄSTRA GÖTALANDS LÄN</t>
        </is>
      </c>
      <c r="E1373" t="inlineStr">
        <is>
          <t>BORÅS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30675-2019</t>
        </is>
      </c>
      <c r="B1374" s="1" t="n">
        <v>43635</v>
      </c>
      <c r="C1374" s="1" t="n">
        <v>45586</v>
      </c>
      <c r="D1374" t="inlineStr">
        <is>
          <t>VÄSTRA GÖTALANDS LÄN</t>
        </is>
      </c>
      <c r="E1374" t="inlineStr">
        <is>
          <t>KARLSBORG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30683-2019</t>
        </is>
      </c>
      <c r="B1375" s="1" t="n">
        <v>43635</v>
      </c>
      <c r="C1375" s="1" t="n">
        <v>45586</v>
      </c>
      <c r="D1375" t="inlineStr">
        <is>
          <t>VÄSTRA GÖTALANDS LÄN</t>
        </is>
      </c>
      <c r="E1375" t="inlineStr">
        <is>
          <t>TÖREBODA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30743-2019</t>
        </is>
      </c>
      <c r="B1376" s="1" t="n">
        <v>43636</v>
      </c>
      <c r="C1376" s="1" t="n">
        <v>45586</v>
      </c>
      <c r="D1376" t="inlineStr">
        <is>
          <t>VÄSTRA GÖTALANDS LÄN</t>
        </is>
      </c>
      <c r="E1376" t="inlineStr">
        <is>
          <t>SKARA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30862-2019</t>
        </is>
      </c>
      <c r="B1377" s="1" t="n">
        <v>43636</v>
      </c>
      <c r="C1377" s="1" t="n">
        <v>45586</v>
      </c>
      <c r="D1377" t="inlineStr">
        <is>
          <t>VÄSTRA GÖTALANDS LÄN</t>
        </is>
      </c>
      <c r="E1377" t="inlineStr">
        <is>
          <t>MARK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30873-2019</t>
        </is>
      </c>
      <c r="B1378" s="1" t="n">
        <v>43636</v>
      </c>
      <c r="C1378" s="1" t="n">
        <v>45586</v>
      </c>
      <c r="D1378" t="inlineStr">
        <is>
          <t>VÄSTRA GÖTALANDS LÄN</t>
        </is>
      </c>
      <c r="E1378" t="inlineStr">
        <is>
          <t>BORÅS</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30784-2019</t>
        </is>
      </c>
      <c r="B1379" s="1" t="n">
        <v>43636</v>
      </c>
      <c r="C1379" s="1" t="n">
        <v>45586</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30852-2019</t>
        </is>
      </c>
      <c r="B1380" s="1" t="n">
        <v>43636</v>
      </c>
      <c r="C1380" s="1" t="n">
        <v>45586</v>
      </c>
      <c r="D1380" t="inlineStr">
        <is>
          <t>VÄSTRA GÖTALANDS LÄN</t>
        </is>
      </c>
      <c r="E1380" t="inlineStr">
        <is>
          <t>UDDEVALLA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30797-2019</t>
        </is>
      </c>
      <c r="B1381" s="1" t="n">
        <v>43636</v>
      </c>
      <c r="C1381" s="1" t="n">
        <v>45586</v>
      </c>
      <c r="D1381" t="inlineStr">
        <is>
          <t>VÄSTRA GÖTALANDS LÄN</t>
        </is>
      </c>
      <c r="E1381" t="inlineStr">
        <is>
          <t>BOLLEBYGD</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30836-2019</t>
        </is>
      </c>
      <c r="B1382" s="1" t="n">
        <v>43636</v>
      </c>
      <c r="C1382" s="1" t="n">
        <v>45586</v>
      </c>
      <c r="D1382" t="inlineStr">
        <is>
          <t>VÄSTRA GÖTALANDS LÄN</t>
        </is>
      </c>
      <c r="E1382" t="inlineStr">
        <is>
          <t>GULLSPÅNG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30914-2019</t>
        </is>
      </c>
      <c r="B1383" s="1" t="n">
        <v>43636</v>
      </c>
      <c r="C1383" s="1" t="n">
        <v>45586</v>
      </c>
      <c r="D1383" t="inlineStr">
        <is>
          <t>VÄSTRA GÖTALANDS LÄN</t>
        </is>
      </c>
      <c r="E1383" t="inlineStr">
        <is>
          <t>VARA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30911-2019</t>
        </is>
      </c>
      <c r="B1384" s="1" t="n">
        <v>43636</v>
      </c>
      <c r="C1384" s="1" t="n">
        <v>45586</v>
      </c>
      <c r="D1384" t="inlineStr">
        <is>
          <t>VÄSTRA GÖTALANDS LÄN</t>
        </is>
      </c>
      <c r="E1384" t="inlineStr">
        <is>
          <t>FÄRGELANDA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30865-2019</t>
        </is>
      </c>
      <c r="B1385" s="1" t="n">
        <v>43636</v>
      </c>
      <c r="C1385" s="1" t="n">
        <v>45586</v>
      </c>
      <c r="D1385" t="inlineStr">
        <is>
          <t>VÄSTRA GÖTALANDS LÄN</t>
        </is>
      </c>
      <c r="E1385" t="inlineStr">
        <is>
          <t>SKARA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30800-2019</t>
        </is>
      </c>
      <c r="B1386" s="1" t="n">
        <v>43636</v>
      </c>
      <c r="C1386" s="1" t="n">
        <v>45586</v>
      </c>
      <c r="D1386" t="inlineStr">
        <is>
          <t>VÄSTRA GÖTALANDS LÄN</t>
        </is>
      </c>
      <c r="E1386" t="inlineStr">
        <is>
          <t>HÄRRYDA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30782-2019</t>
        </is>
      </c>
      <c r="B1387" s="1" t="n">
        <v>43636</v>
      </c>
      <c r="C1387" s="1" t="n">
        <v>45586</v>
      </c>
      <c r="D1387" t="inlineStr">
        <is>
          <t>VÄSTRA GÖTALANDS LÄN</t>
        </is>
      </c>
      <c r="E1387" t="inlineStr">
        <is>
          <t>MELLERUD</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30688-2019</t>
        </is>
      </c>
      <c r="B1388" s="1" t="n">
        <v>43636</v>
      </c>
      <c r="C1388" s="1" t="n">
        <v>45586</v>
      </c>
      <c r="D1388" t="inlineStr">
        <is>
          <t>VÄSTRA GÖTALANDS LÄN</t>
        </is>
      </c>
      <c r="E1388" t="inlineStr">
        <is>
          <t>VÅRGÅRDA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31354-2019</t>
        </is>
      </c>
      <c r="B1389" s="1" t="n">
        <v>43636</v>
      </c>
      <c r="C1389" s="1" t="n">
        <v>45586</v>
      </c>
      <c r="D1389" t="inlineStr">
        <is>
          <t>VÄSTRA GÖTALANDS LÄN</t>
        </is>
      </c>
      <c r="E1389" t="inlineStr">
        <is>
          <t>ORUST</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30908-2019</t>
        </is>
      </c>
      <c r="B1390" s="1" t="n">
        <v>43636</v>
      </c>
      <c r="C1390" s="1" t="n">
        <v>45586</v>
      </c>
      <c r="D1390" t="inlineStr">
        <is>
          <t>VÄSTRA GÖTALANDS LÄN</t>
        </is>
      </c>
      <c r="E1390" t="inlineStr">
        <is>
          <t>ALINGSÅS</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30949-2019</t>
        </is>
      </c>
      <c r="B1391" s="1" t="n">
        <v>43637</v>
      </c>
      <c r="C1391" s="1" t="n">
        <v>45586</v>
      </c>
      <c r="D1391" t="inlineStr">
        <is>
          <t>VÄSTRA GÖTALANDS LÄN</t>
        </is>
      </c>
      <c r="E1391" t="inlineStr">
        <is>
          <t>BOLLEBYGD</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31039-2019</t>
        </is>
      </c>
      <c r="B1392" s="1" t="n">
        <v>43640</v>
      </c>
      <c r="C1392" s="1" t="n">
        <v>45586</v>
      </c>
      <c r="D1392" t="inlineStr">
        <is>
          <t>VÄSTRA GÖTALANDS LÄN</t>
        </is>
      </c>
      <c r="E1392" t="inlineStr">
        <is>
          <t>FÄRGELANDA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31085-2019</t>
        </is>
      </c>
      <c r="B1393" s="1" t="n">
        <v>43640</v>
      </c>
      <c r="C1393" s="1" t="n">
        <v>45586</v>
      </c>
      <c r="D1393" t="inlineStr">
        <is>
          <t>VÄSTRA GÖTALANDS LÄN</t>
        </is>
      </c>
      <c r="E1393" t="inlineStr">
        <is>
          <t>FALKÖPING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31065-2019</t>
        </is>
      </c>
      <c r="B1394" s="1" t="n">
        <v>43640</v>
      </c>
      <c r="C1394" s="1" t="n">
        <v>45586</v>
      </c>
      <c r="D1394" t="inlineStr">
        <is>
          <t>VÄSTRA GÖTALANDS LÄN</t>
        </is>
      </c>
      <c r="E1394" t="inlineStr">
        <is>
          <t>MARIESTAD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31073-2019</t>
        </is>
      </c>
      <c r="B1395" s="1" t="n">
        <v>43640</v>
      </c>
      <c r="C1395" s="1" t="n">
        <v>45586</v>
      </c>
      <c r="D1395" t="inlineStr">
        <is>
          <t>VÄSTRA GÖTALANDS LÄN</t>
        </is>
      </c>
      <c r="E1395" t="inlineStr">
        <is>
          <t>MARIESTAD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31092-2019</t>
        </is>
      </c>
      <c r="B1396" s="1" t="n">
        <v>43640</v>
      </c>
      <c r="C1396" s="1" t="n">
        <v>45586</v>
      </c>
      <c r="D1396" t="inlineStr">
        <is>
          <t>VÄSTRA GÖTALANDS LÄN</t>
        </is>
      </c>
      <c r="E1396" t="inlineStr">
        <is>
          <t>FÄRGELANDA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31216-2019</t>
        </is>
      </c>
      <c r="B1397" s="1" t="n">
        <v>43640</v>
      </c>
      <c r="C1397" s="1" t="n">
        <v>45586</v>
      </c>
      <c r="D1397" t="inlineStr">
        <is>
          <t>VÄSTRA GÖTALANDS LÄN</t>
        </is>
      </c>
      <c r="E1397" t="inlineStr">
        <is>
          <t>UDDEVALLA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31199-2019</t>
        </is>
      </c>
      <c r="B1398" s="1" t="n">
        <v>43640</v>
      </c>
      <c r="C1398" s="1" t="n">
        <v>45586</v>
      </c>
      <c r="D1398" t="inlineStr">
        <is>
          <t>VÄSTRA GÖTALANDS LÄN</t>
        </is>
      </c>
      <c r="E1398" t="inlineStr">
        <is>
          <t>UDDEVALLA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31624-2019</t>
        </is>
      </c>
      <c r="B1399" s="1" t="n">
        <v>43640</v>
      </c>
      <c r="C1399" s="1" t="n">
        <v>45586</v>
      </c>
      <c r="D1399" t="inlineStr">
        <is>
          <t>VÄSTRA GÖTALANDS LÄN</t>
        </is>
      </c>
      <c r="E1399" t="inlineStr">
        <is>
          <t>BORÅS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31266-2019</t>
        </is>
      </c>
      <c r="B1400" s="1" t="n">
        <v>43640</v>
      </c>
      <c r="C1400" s="1" t="n">
        <v>45586</v>
      </c>
      <c r="D1400" t="inlineStr">
        <is>
          <t>VÄSTRA GÖTALANDS LÄN</t>
        </is>
      </c>
      <c r="E1400" t="inlineStr">
        <is>
          <t>GRÄSTORP</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31865-2019</t>
        </is>
      </c>
      <c r="B1401" s="1" t="n">
        <v>43641</v>
      </c>
      <c r="C1401" s="1" t="n">
        <v>45586</v>
      </c>
      <c r="D1401" t="inlineStr">
        <is>
          <t>VÄSTRA GÖTALANDS LÄN</t>
        </is>
      </c>
      <c r="E1401" t="inlineStr">
        <is>
          <t>BORÅS</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31320-2019</t>
        </is>
      </c>
      <c r="B1402" s="1" t="n">
        <v>43641</v>
      </c>
      <c r="C1402" s="1" t="n">
        <v>45586</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31361-2019</t>
        </is>
      </c>
      <c r="B1403" s="1" t="n">
        <v>43641</v>
      </c>
      <c r="C1403" s="1" t="n">
        <v>45586</v>
      </c>
      <c r="D1403" t="inlineStr">
        <is>
          <t>VÄSTRA GÖTALANDS LÄN</t>
        </is>
      </c>
      <c r="E1403" t="inlineStr">
        <is>
          <t>ESSUNGA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31392-2019</t>
        </is>
      </c>
      <c r="B1404" s="1" t="n">
        <v>43641</v>
      </c>
      <c r="C1404" s="1" t="n">
        <v>45586</v>
      </c>
      <c r="D1404" t="inlineStr">
        <is>
          <t>VÄSTRA GÖTALANDS LÄN</t>
        </is>
      </c>
      <c r="E1404" t="inlineStr">
        <is>
          <t>HÄRRYDA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31870-2019</t>
        </is>
      </c>
      <c r="B1405" s="1" t="n">
        <v>43641</v>
      </c>
      <c r="C1405" s="1" t="n">
        <v>45586</v>
      </c>
      <c r="D1405" t="inlineStr">
        <is>
          <t>VÄSTRA GÖTALANDS LÄN</t>
        </is>
      </c>
      <c r="E1405" t="inlineStr">
        <is>
          <t>TRANEMO</t>
        </is>
      </c>
      <c r="F1405" t="inlineStr">
        <is>
          <t>Kommuner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31517-2019</t>
        </is>
      </c>
      <c r="B1406" s="1" t="n">
        <v>43641</v>
      </c>
      <c r="C1406" s="1" t="n">
        <v>45586</v>
      </c>
      <c r="D1406" t="inlineStr">
        <is>
          <t>VÄSTRA GÖTALANDS LÄN</t>
        </is>
      </c>
      <c r="E1406" t="inlineStr">
        <is>
          <t>FALKÖPING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31920-2019</t>
        </is>
      </c>
      <c r="B1407" s="1" t="n">
        <v>43641</v>
      </c>
      <c r="C1407" s="1" t="n">
        <v>45586</v>
      </c>
      <c r="D1407" t="inlineStr">
        <is>
          <t>VÄSTRA GÖTALANDS LÄN</t>
        </is>
      </c>
      <c r="E1407" t="inlineStr">
        <is>
          <t>MUNKEDAL</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31873-2019</t>
        </is>
      </c>
      <c r="B1408" s="1" t="n">
        <v>43641</v>
      </c>
      <c r="C1408" s="1" t="n">
        <v>45586</v>
      </c>
      <c r="D1408" t="inlineStr">
        <is>
          <t>VÄSTRA GÖTALANDS LÄN</t>
        </is>
      </c>
      <c r="E1408" t="inlineStr">
        <is>
          <t>BORÅS</t>
        </is>
      </c>
      <c r="F1408" t="inlineStr">
        <is>
          <t>Kommuner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31497-2019</t>
        </is>
      </c>
      <c r="B1409" s="1" t="n">
        <v>43641</v>
      </c>
      <c r="C1409" s="1" t="n">
        <v>45586</v>
      </c>
      <c r="D1409" t="inlineStr">
        <is>
          <t>VÄSTRA GÖTALANDS LÄN</t>
        </is>
      </c>
      <c r="E1409" t="inlineStr">
        <is>
          <t>MELLERUD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31875-2019</t>
        </is>
      </c>
      <c r="B1410" s="1" t="n">
        <v>43641</v>
      </c>
      <c r="C1410" s="1" t="n">
        <v>45586</v>
      </c>
      <c r="D1410" t="inlineStr">
        <is>
          <t>VÄSTRA GÖTALANDS LÄN</t>
        </is>
      </c>
      <c r="E1410" t="inlineStr">
        <is>
          <t>BORÅS</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31753-2019</t>
        </is>
      </c>
      <c r="B1411" s="1" t="n">
        <v>43642</v>
      </c>
      <c r="C1411" s="1" t="n">
        <v>45586</v>
      </c>
      <c r="D1411" t="inlineStr">
        <is>
          <t>VÄSTRA GÖTALANDS LÄN</t>
        </is>
      </c>
      <c r="E1411" t="inlineStr">
        <is>
          <t>BOLLEBYGD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31655-2019</t>
        </is>
      </c>
      <c r="B1412" s="1" t="n">
        <v>43642</v>
      </c>
      <c r="C1412" s="1" t="n">
        <v>45586</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c r="U1412">
        <f>HYPERLINK("https://klasma.github.io/Logging_1421/knärot/A 31655-2019 karta knärot.png", "A 31655-2019")</f>
        <v/>
      </c>
      <c r="V1412">
        <f>HYPERLINK("https://klasma.github.io/Logging_1421/klagomål/A 31655-2019 FSC-klagomål.docx", "A 31655-2019")</f>
        <v/>
      </c>
      <c r="W1412">
        <f>HYPERLINK("https://klasma.github.io/Logging_1421/klagomålsmail/A 31655-2019 FSC-klagomål mail.docx", "A 31655-2019")</f>
        <v/>
      </c>
      <c r="X1412">
        <f>HYPERLINK("https://klasma.github.io/Logging_1421/tillsyn/A 31655-2019 tillsynsbegäran.docx", "A 31655-2019")</f>
        <v/>
      </c>
      <c r="Y1412">
        <f>HYPERLINK("https://klasma.github.io/Logging_1421/tillsynsmail/A 31655-2019 tillsynsbegäran mail.docx", "A 31655-2019")</f>
        <v/>
      </c>
    </row>
    <row r="1413" ht="15" customHeight="1">
      <c r="A1413" t="inlineStr">
        <is>
          <t>A 31682-2019</t>
        </is>
      </c>
      <c r="B1413" s="1" t="n">
        <v>43642</v>
      </c>
      <c r="C1413" s="1" t="n">
        <v>45586</v>
      </c>
      <c r="D1413" t="inlineStr">
        <is>
          <t>VÄSTRA GÖTALANDS LÄN</t>
        </is>
      </c>
      <c r="E1413" t="inlineStr">
        <is>
          <t>MARIESTAD</t>
        </is>
      </c>
      <c r="F1413" t="inlineStr">
        <is>
          <t>Kyrkan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31801-2019</t>
        </is>
      </c>
      <c r="B1414" s="1" t="n">
        <v>43642</v>
      </c>
      <c r="C1414" s="1" t="n">
        <v>45586</v>
      </c>
      <c r="D1414" t="inlineStr">
        <is>
          <t>VÄSTRA GÖTALANDS LÄN</t>
        </is>
      </c>
      <c r="E1414" t="inlineStr">
        <is>
          <t>TIDAHOLM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32005-2019</t>
        </is>
      </c>
      <c r="B1415" s="1" t="n">
        <v>43643</v>
      </c>
      <c r="C1415" s="1" t="n">
        <v>45586</v>
      </c>
      <c r="D1415" t="inlineStr">
        <is>
          <t>VÄSTRA GÖTALANDS LÄN</t>
        </is>
      </c>
      <c r="E1415" t="inlineStr">
        <is>
          <t>FALKÖPING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32022-2019</t>
        </is>
      </c>
      <c r="B1416" s="1" t="n">
        <v>43643</v>
      </c>
      <c r="C1416" s="1" t="n">
        <v>45586</v>
      </c>
      <c r="D1416" t="inlineStr">
        <is>
          <t>VÄSTRA GÖTALANDS LÄN</t>
        </is>
      </c>
      <c r="E1416" t="inlineStr">
        <is>
          <t>SKÖVDE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32025-2019</t>
        </is>
      </c>
      <c r="B1417" s="1" t="n">
        <v>43643</v>
      </c>
      <c r="C1417" s="1" t="n">
        <v>45586</v>
      </c>
      <c r="D1417" t="inlineStr">
        <is>
          <t>VÄSTRA GÖTALANDS LÄN</t>
        </is>
      </c>
      <c r="E1417" t="inlineStr">
        <is>
          <t>BORÅS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31950-2019</t>
        </is>
      </c>
      <c r="B1418" s="1" t="n">
        <v>43643</v>
      </c>
      <c r="C1418" s="1" t="n">
        <v>45586</v>
      </c>
      <c r="D1418" t="inlineStr">
        <is>
          <t>VÄSTRA GÖTALANDS LÄN</t>
        </is>
      </c>
      <c r="E1418" t="inlineStr">
        <is>
          <t>DALS-ED</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31918-2019</t>
        </is>
      </c>
      <c r="B1419" s="1" t="n">
        <v>43643</v>
      </c>
      <c r="C1419" s="1" t="n">
        <v>45586</v>
      </c>
      <c r="D1419" t="inlineStr">
        <is>
          <t>VÄSTRA GÖTALANDS LÄN</t>
        </is>
      </c>
      <c r="E1419" t="inlineStr">
        <is>
          <t>TANUM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32269-2019</t>
        </is>
      </c>
      <c r="B1420" s="1" t="n">
        <v>43644</v>
      </c>
      <c r="C1420" s="1" t="n">
        <v>45586</v>
      </c>
      <c r="D1420" t="inlineStr">
        <is>
          <t>VÄSTRA GÖTALANDS LÄN</t>
        </is>
      </c>
      <c r="E1420" t="inlineStr">
        <is>
          <t>SVENLJUNGA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32302-2019</t>
        </is>
      </c>
      <c r="B1421" s="1" t="n">
        <v>43644</v>
      </c>
      <c r="C1421" s="1" t="n">
        <v>45586</v>
      </c>
      <c r="D1421" t="inlineStr">
        <is>
          <t>VÄSTRA GÖTALANDS LÄN</t>
        </is>
      </c>
      <c r="E1421" t="inlineStr">
        <is>
          <t>SVENLJUNGA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32333-2019</t>
        </is>
      </c>
      <c r="B1422" s="1" t="n">
        <v>43644</v>
      </c>
      <c r="C1422" s="1" t="n">
        <v>45586</v>
      </c>
      <c r="D1422" t="inlineStr">
        <is>
          <t>VÄSTRA GÖTALANDS LÄN</t>
        </is>
      </c>
      <c r="E1422" t="inlineStr">
        <is>
          <t>MARIESTAD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32334-2019</t>
        </is>
      </c>
      <c r="B1423" s="1" t="n">
        <v>43644</v>
      </c>
      <c r="C1423" s="1" t="n">
        <v>45586</v>
      </c>
      <c r="D1423" t="inlineStr">
        <is>
          <t>VÄSTRA GÖTALANDS LÄN</t>
        </is>
      </c>
      <c r="E1423" t="inlineStr">
        <is>
          <t>MARIESTAD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32446-2019</t>
        </is>
      </c>
      <c r="B1424" s="1" t="n">
        <v>43644</v>
      </c>
      <c r="C1424" s="1" t="n">
        <v>45586</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32290-2019</t>
        </is>
      </c>
      <c r="B1425" s="1" t="n">
        <v>43644</v>
      </c>
      <c r="C1425" s="1" t="n">
        <v>45586</v>
      </c>
      <c r="D1425" t="inlineStr">
        <is>
          <t>VÄSTRA GÖTALANDS LÄN</t>
        </is>
      </c>
      <c r="E1425" t="inlineStr">
        <is>
          <t>SVENLJUNGA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32462-2019</t>
        </is>
      </c>
      <c r="B1426" s="1" t="n">
        <v>43644</v>
      </c>
      <c r="C1426" s="1" t="n">
        <v>45586</v>
      </c>
      <c r="D1426" t="inlineStr">
        <is>
          <t>VÄSTRA GÖTALANDS LÄN</t>
        </is>
      </c>
      <c r="E1426" t="inlineStr">
        <is>
          <t>MARIESTAD</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32377-2019</t>
        </is>
      </c>
      <c r="B1427" s="1" t="n">
        <v>43644</v>
      </c>
      <c r="C1427" s="1" t="n">
        <v>45586</v>
      </c>
      <c r="D1427" t="inlineStr">
        <is>
          <t>VÄSTRA GÖTALANDS LÄN</t>
        </is>
      </c>
      <c r="E1427" t="inlineStr">
        <is>
          <t>MARIESTAD</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32464-2019</t>
        </is>
      </c>
      <c r="B1428" s="1" t="n">
        <v>43644</v>
      </c>
      <c r="C1428" s="1" t="n">
        <v>45586</v>
      </c>
      <c r="D1428" t="inlineStr">
        <is>
          <t>VÄSTRA GÖTALANDS LÄN</t>
        </is>
      </c>
      <c r="E1428" t="inlineStr">
        <is>
          <t>MARIESTAD</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33149-2019</t>
        </is>
      </c>
      <c r="B1429" s="1" t="n">
        <v>43644</v>
      </c>
      <c r="C1429" s="1" t="n">
        <v>45586</v>
      </c>
      <c r="D1429" t="inlineStr">
        <is>
          <t>VÄSTRA GÖTALANDS LÄN</t>
        </is>
      </c>
      <c r="E1429" t="inlineStr">
        <is>
          <t>KARLSBORG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33138-2019</t>
        </is>
      </c>
      <c r="B1430" s="1" t="n">
        <v>43644</v>
      </c>
      <c r="C1430" s="1" t="n">
        <v>45586</v>
      </c>
      <c r="D1430" t="inlineStr">
        <is>
          <t>VÄSTRA GÖTALANDS LÄN</t>
        </is>
      </c>
      <c r="E1430" t="inlineStr">
        <is>
          <t>TÖREBODA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32472-2019</t>
        </is>
      </c>
      <c r="B1431" s="1" t="n">
        <v>43644</v>
      </c>
      <c r="C1431" s="1" t="n">
        <v>45586</v>
      </c>
      <c r="D1431" t="inlineStr">
        <is>
          <t>VÄSTRA GÖTALANDS LÄN</t>
        </is>
      </c>
      <c r="E1431" t="inlineStr">
        <is>
          <t>VARA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32345-2019</t>
        </is>
      </c>
      <c r="B1432" s="1" t="n">
        <v>43644</v>
      </c>
      <c r="C1432" s="1" t="n">
        <v>45586</v>
      </c>
      <c r="D1432" t="inlineStr">
        <is>
          <t>VÄSTRA GÖTALANDS LÄN</t>
        </is>
      </c>
      <c r="E1432" t="inlineStr">
        <is>
          <t>DALS-ED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32279-2019</t>
        </is>
      </c>
      <c r="B1433" s="1" t="n">
        <v>43644</v>
      </c>
      <c r="C1433" s="1" t="n">
        <v>45586</v>
      </c>
      <c r="D1433" t="inlineStr">
        <is>
          <t>VÄSTRA GÖTALANDS LÄN</t>
        </is>
      </c>
      <c r="E1433" t="inlineStr">
        <is>
          <t>SVENLJUNGA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33311-2019</t>
        </is>
      </c>
      <c r="B1434" s="1" t="n">
        <v>43644</v>
      </c>
      <c r="C1434" s="1" t="n">
        <v>45586</v>
      </c>
      <c r="D1434" t="inlineStr">
        <is>
          <t>VÄSTRA GÖTALANDS LÄN</t>
        </is>
      </c>
      <c r="E1434" t="inlineStr">
        <is>
          <t>KUNGÄLV</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32332-2019</t>
        </is>
      </c>
      <c r="B1435" s="1" t="n">
        <v>43644</v>
      </c>
      <c r="C1435" s="1" t="n">
        <v>45586</v>
      </c>
      <c r="D1435" t="inlineStr">
        <is>
          <t>VÄSTRA GÖTALANDS LÄN</t>
        </is>
      </c>
      <c r="E1435" t="inlineStr">
        <is>
          <t>MARIESTAD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32534-2019</t>
        </is>
      </c>
      <c r="B1436" s="1" t="n">
        <v>43646</v>
      </c>
      <c r="C1436" s="1" t="n">
        <v>45586</v>
      </c>
      <c r="D1436" t="inlineStr">
        <is>
          <t>VÄSTRA GÖTALANDS LÄN</t>
        </is>
      </c>
      <c r="E1436" t="inlineStr">
        <is>
          <t>BENGTSFORS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32535-2019</t>
        </is>
      </c>
      <c r="B1437" s="1" t="n">
        <v>43646</v>
      </c>
      <c r="C1437" s="1" t="n">
        <v>45586</v>
      </c>
      <c r="D1437" t="inlineStr">
        <is>
          <t>VÄSTRA GÖTALANDS LÄN</t>
        </is>
      </c>
      <c r="E1437" t="inlineStr">
        <is>
          <t>BORÅS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32545-2019</t>
        </is>
      </c>
      <c r="B1438" s="1" t="n">
        <v>43647</v>
      </c>
      <c r="C1438" s="1" t="n">
        <v>45586</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32566-2019</t>
        </is>
      </c>
      <c r="B1439" s="1" t="n">
        <v>43647</v>
      </c>
      <c r="C1439" s="1" t="n">
        <v>45586</v>
      </c>
      <c r="D1439" t="inlineStr">
        <is>
          <t>VÄSTRA GÖTALANDS LÄN</t>
        </is>
      </c>
      <c r="E1439" t="inlineStr">
        <is>
          <t>STRÖMSTAD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32564-2019</t>
        </is>
      </c>
      <c r="B1440" s="1" t="n">
        <v>43647</v>
      </c>
      <c r="C1440" s="1" t="n">
        <v>45586</v>
      </c>
      <c r="D1440" t="inlineStr">
        <is>
          <t>VÄSTRA GÖTALANDS LÄN</t>
        </is>
      </c>
      <c r="E1440" t="inlineStr">
        <is>
          <t>STRÖMSTAD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32601-2019</t>
        </is>
      </c>
      <c r="B1441" s="1" t="n">
        <v>43647</v>
      </c>
      <c r="C1441" s="1" t="n">
        <v>45586</v>
      </c>
      <c r="D1441" t="inlineStr">
        <is>
          <t>VÄSTRA GÖTALANDS LÄN</t>
        </is>
      </c>
      <c r="E1441" t="inlineStr">
        <is>
          <t>MARIESTAD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32709-2019</t>
        </is>
      </c>
      <c r="B1442" s="1" t="n">
        <v>43647</v>
      </c>
      <c r="C1442" s="1" t="n">
        <v>45586</v>
      </c>
      <c r="D1442" t="inlineStr">
        <is>
          <t>VÄSTRA GÖTALANDS LÄN</t>
        </is>
      </c>
      <c r="E1442" t="inlineStr">
        <is>
          <t>LERUM</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34414-2019</t>
        </is>
      </c>
      <c r="B1443" s="1" t="n">
        <v>43647</v>
      </c>
      <c r="C1443" s="1" t="n">
        <v>45586</v>
      </c>
      <c r="D1443" t="inlineStr">
        <is>
          <t>VÄSTRA GÖTALANDS LÄN</t>
        </is>
      </c>
      <c r="E1443" t="inlineStr">
        <is>
          <t>SVENLJUNGA</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34599-2019</t>
        </is>
      </c>
      <c r="B1444" s="1" t="n">
        <v>43647</v>
      </c>
      <c r="C1444" s="1" t="n">
        <v>45586</v>
      </c>
      <c r="D1444" t="inlineStr">
        <is>
          <t>VÄSTRA GÖTALANDS LÄN</t>
        </is>
      </c>
      <c r="E1444" t="inlineStr">
        <is>
          <t>VÄNERSBORG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34379-2019</t>
        </is>
      </c>
      <c r="B1445" s="1" t="n">
        <v>43647</v>
      </c>
      <c r="C1445" s="1" t="n">
        <v>45586</v>
      </c>
      <c r="D1445" t="inlineStr">
        <is>
          <t>VÄSTRA GÖTALANDS LÄN</t>
        </is>
      </c>
      <c r="E1445" t="inlineStr">
        <is>
          <t>SVENLJUNGA</t>
        </is>
      </c>
      <c r="F1445" t="inlineStr">
        <is>
          <t>Kommuner</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34592-2019</t>
        </is>
      </c>
      <c r="B1446" s="1" t="n">
        <v>43647</v>
      </c>
      <c r="C1446" s="1" t="n">
        <v>45586</v>
      </c>
      <c r="D1446" t="inlineStr">
        <is>
          <t>VÄSTRA GÖTALANDS LÄN</t>
        </is>
      </c>
      <c r="E1446" t="inlineStr">
        <is>
          <t>VÄNERSBORG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32649-2019</t>
        </is>
      </c>
      <c r="B1447" s="1" t="n">
        <v>43647</v>
      </c>
      <c r="C1447" s="1" t="n">
        <v>45586</v>
      </c>
      <c r="D1447" t="inlineStr">
        <is>
          <t>VÄSTRA GÖTALANDS LÄN</t>
        </is>
      </c>
      <c r="E1447" t="inlineStr">
        <is>
          <t>MARIESTAD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32951-2019</t>
        </is>
      </c>
      <c r="B1448" s="1" t="n">
        <v>43648</v>
      </c>
      <c r="C1448" s="1" t="n">
        <v>45586</v>
      </c>
      <c r="D1448" t="inlineStr">
        <is>
          <t>VÄSTRA GÖTALANDS LÄN</t>
        </is>
      </c>
      <c r="E1448" t="inlineStr">
        <is>
          <t>ALINGSÅS</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32947-2019</t>
        </is>
      </c>
      <c r="B1449" s="1" t="n">
        <v>43648</v>
      </c>
      <c r="C1449" s="1" t="n">
        <v>45586</v>
      </c>
      <c r="D1449" t="inlineStr">
        <is>
          <t>VÄSTRA GÖTALANDS LÄN</t>
        </is>
      </c>
      <c r="E1449" t="inlineStr">
        <is>
          <t>ALINGSÅS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34716-2019</t>
        </is>
      </c>
      <c r="B1450" s="1" t="n">
        <v>43648</v>
      </c>
      <c r="C1450" s="1" t="n">
        <v>45586</v>
      </c>
      <c r="D1450" t="inlineStr">
        <is>
          <t>VÄSTRA GÖTALANDS LÄN</t>
        </is>
      </c>
      <c r="E1450" t="inlineStr">
        <is>
          <t>BENGTSFORS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32929-2019</t>
        </is>
      </c>
      <c r="B1451" s="1" t="n">
        <v>43648</v>
      </c>
      <c r="C1451" s="1" t="n">
        <v>45586</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33028-2019</t>
        </is>
      </c>
      <c r="B1452" s="1" t="n">
        <v>43649</v>
      </c>
      <c r="C1452" s="1" t="n">
        <v>45586</v>
      </c>
      <c r="D1452" t="inlineStr">
        <is>
          <t>VÄSTRA GÖTALANDS LÄN</t>
        </is>
      </c>
      <c r="E1452" t="inlineStr">
        <is>
          <t>BOLLEBYGD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33030-2019</t>
        </is>
      </c>
      <c r="B1453" s="1" t="n">
        <v>43649</v>
      </c>
      <c r="C1453" s="1" t="n">
        <v>45586</v>
      </c>
      <c r="D1453" t="inlineStr">
        <is>
          <t>VÄSTRA GÖTALANDS LÄN</t>
        </is>
      </c>
      <c r="E1453" t="inlineStr">
        <is>
          <t>MARIESTAD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33174-2019</t>
        </is>
      </c>
      <c r="B1454" s="1" t="n">
        <v>43649</v>
      </c>
      <c r="C1454" s="1" t="n">
        <v>45586</v>
      </c>
      <c r="D1454" t="inlineStr">
        <is>
          <t>VÄSTRA GÖTALANDS LÄN</t>
        </is>
      </c>
      <c r="E1454" t="inlineStr">
        <is>
          <t>HERRLJUNGA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33161-2019</t>
        </is>
      </c>
      <c r="B1455" s="1" t="n">
        <v>43649</v>
      </c>
      <c r="C1455" s="1" t="n">
        <v>45586</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33171-2019</t>
        </is>
      </c>
      <c r="B1456" s="1" t="n">
        <v>43649</v>
      </c>
      <c r="C1456" s="1" t="n">
        <v>45586</v>
      </c>
      <c r="D1456" t="inlineStr">
        <is>
          <t>VÄSTRA GÖTALANDS LÄN</t>
        </is>
      </c>
      <c r="E1456" t="inlineStr">
        <is>
          <t>HERRLJUNGA</t>
        </is>
      </c>
      <c r="F1456" t="inlineStr">
        <is>
          <t>Kyrkan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33027-2019</t>
        </is>
      </c>
      <c r="B1457" s="1" t="n">
        <v>43649</v>
      </c>
      <c r="C1457" s="1" t="n">
        <v>45586</v>
      </c>
      <c r="D1457" t="inlineStr">
        <is>
          <t>VÄSTRA GÖTALANDS LÄN</t>
        </is>
      </c>
      <c r="E1457" t="inlineStr">
        <is>
          <t>MARIESTAD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33175-2019</t>
        </is>
      </c>
      <c r="B1458" s="1" t="n">
        <v>43649</v>
      </c>
      <c r="C1458" s="1" t="n">
        <v>45586</v>
      </c>
      <c r="D1458" t="inlineStr">
        <is>
          <t>VÄSTRA GÖTALANDS LÄN</t>
        </is>
      </c>
      <c r="E1458" t="inlineStr">
        <is>
          <t>HERRLJUNGA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34820-2019</t>
        </is>
      </c>
      <c r="B1459" s="1" t="n">
        <v>43649</v>
      </c>
      <c r="C1459" s="1" t="n">
        <v>45586</v>
      </c>
      <c r="D1459" t="inlineStr">
        <is>
          <t>VÄSTRA GÖTALANDS LÄN</t>
        </is>
      </c>
      <c r="E1459" t="inlineStr">
        <is>
          <t>FÄRGELANDA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34828-2019</t>
        </is>
      </c>
      <c r="B1460" s="1" t="n">
        <v>43649</v>
      </c>
      <c r="C1460" s="1" t="n">
        <v>45586</v>
      </c>
      <c r="D1460" t="inlineStr">
        <is>
          <t>VÄSTRA GÖTALANDS LÄN</t>
        </is>
      </c>
      <c r="E1460" t="inlineStr">
        <is>
          <t>ORUST</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33137-2019</t>
        </is>
      </c>
      <c r="B1461" s="1" t="n">
        <v>43649</v>
      </c>
      <c r="C1461" s="1" t="n">
        <v>45586</v>
      </c>
      <c r="D1461" t="inlineStr">
        <is>
          <t>VÄSTRA GÖTALANDS LÄN</t>
        </is>
      </c>
      <c r="E1461" t="inlineStr">
        <is>
          <t>ULRICEHAMN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33326-2019</t>
        </is>
      </c>
      <c r="B1462" s="1" t="n">
        <v>43650</v>
      </c>
      <c r="C1462" s="1" t="n">
        <v>45586</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33366-2019</t>
        </is>
      </c>
      <c r="B1463" s="1" t="n">
        <v>43650</v>
      </c>
      <c r="C1463" s="1" t="n">
        <v>45586</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33376-2019</t>
        </is>
      </c>
      <c r="B1464" s="1" t="n">
        <v>43650</v>
      </c>
      <c r="C1464" s="1" t="n">
        <v>45586</v>
      </c>
      <c r="D1464" t="inlineStr">
        <is>
          <t>VÄSTRA GÖTALANDS LÄN</t>
        </is>
      </c>
      <c r="E1464" t="inlineStr">
        <is>
          <t>ESSUNGA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33369-2019</t>
        </is>
      </c>
      <c r="B1465" s="1" t="n">
        <v>43650</v>
      </c>
      <c r="C1465" s="1" t="n">
        <v>45586</v>
      </c>
      <c r="D1465" t="inlineStr">
        <is>
          <t>VÄSTRA GÖTALANDS LÄN</t>
        </is>
      </c>
      <c r="E1465" t="inlineStr">
        <is>
          <t>ESSUNGA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33233-2019</t>
        </is>
      </c>
      <c r="B1466" s="1" t="n">
        <v>43650</v>
      </c>
      <c r="C1466" s="1" t="n">
        <v>45586</v>
      </c>
      <c r="D1466" t="inlineStr">
        <is>
          <t>VÄSTRA GÖTALANDS LÄN</t>
        </is>
      </c>
      <c r="E1466" t="inlineStr">
        <is>
          <t>TÖREBODA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33501-2019</t>
        </is>
      </c>
      <c r="B1467" s="1" t="n">
        <v>43651</v>
      </c>
      <c r="C1467" s="1" t="n">
        <v>45586</v>
      </c>
      <c r="D1467" t="inlineStr">
        <is>
          <t>VÄSTRA GÖTALANDS LÄN</t>
        </is>
      </c>
      <c r="E1467" t="inlineStr">
        <is>
          <t>DALS-ED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33703-2019</t>
        </is>
      </c>
      <c r="B1468" s="1" t="n">
        <v>43651</v>
      </c>
      <c r="C1468" s="1" t="n">
        <v>45586</v>
      </c>
      <c r="D1468" t="inlineStr">
        <is>
          <t>VÄSTRA GÖTALANDS LÄN</t>
        </is>
      </c>
      <c r="E1468" t="inlineStr">
        <is>
          <t>TÖREBODA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33582-2019</t>
        </is>
      </c>
      <c r="B1469" s="1" t="n">
        <v>43651</v>
      </c>
      <c r="C1469" s="1" t="n">
        <v>45586</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33700-2019</t>
        </is>
      </c>
      <c r="B1470" s="1" t="n">
        <v>43651</v>
      </c>
      <c r="C1470" s="1" t="n">
        <v>45586</v>
      </c>
      <c r="D1470" t="inlineStr">
        <is>
          <t>VÄSTRA GÖTALANDS LÄN</t>
        </is>
      </c>
      <c r="E1470" t="inlineStr">
        <is>
          <t>TÖREBODA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33713-2019</t>
        </is>
      </c>
      <c r="B1471" s="1" t="n">
        <v>43651</v>
      </c>
      <c r="C1471" s="1" t="n">
        <v>45586</v>
      </c>
      <c r="D1471" t="inlineStr">
        <is>
          <t>VÄSTRA GÖTALANDS LÄN</t>
        </is>
      </c>
      <c r="E1471" t="inlineStr">
        <is>
          <t>MARIESTAD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33684-2019</t>
        </is>
      </c>
      <c r="B1472" s="1" t="n">
        <v>43651</v>
      </c>
      <c r="C1472" s="1" t="n">
        <v>45586</v>
      </c>
      <c r="D1472" t="inlineStr">
        <is>
          <t>VÄSTRA GÖTALANDS LÄN</t>
        </is>
      </c>
      <c r="E1472" t="inlineStr">
        <is>
          <t>KUNGÄLV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33690-2019</t>
        </is>
      </c>
      <c r="B1473" s="1" t="n">
        <v>43651</v>
      </c>
      <c r="C1473" s="1" t="n">
        <v>45586</v>
      </c>
      <c r="D1473" t="inlineStr">
        <is>
          <t>VÄSTRA GÖTALANDS LÄN</t>
        </is>
      </c>
      <c r="E1473" t="inlineStr">
        <is>
          <t>FÄRGELANDA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33773-2019</t>
        </is>
      </c>
      <c r="B1474" s="1" t="n">
        <v>43651</v>
      </c>
      <c r="C1474" s="1" t="n">
        <v>45586</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35304-2019</t>
        </is>
      </c>
      <c r="B1475" s="1" t="n">
        <v>43651</v>
      </c>
      <c r="C1475" s="1" t="n">
        <v>45586</v>
      </c>
      <c r="D1475" t="inlineStr">
        <is>
          <t>VÄSTRA GÖTALANDS LÄN</t>
        </is>
      </c>
      <c r="E1475" t="inlineStr">
        <is>
          <t>MELLERUD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33706-2019</t>
        </is>
      </c>
      <c r="B1476" s="1" t="n">
        <v>43651</v>
      </c>
      <c r="C1476" s="1" t="n">
        <v>45586</v>
      </c>
      <c r="D1476" t="inlineStr">
        <is>
          <t>VÄSTRA GÖTALANDS LÄN</t>
        </is>
      </c>
      <c r="E1476" t="inlineStr">
        <is>
          <t>TÖREBODA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35306-2019</t>
        </is>
      </c>
      <c r="B1477" s="1" t="n">
        <v>43651</v>
      </c>
      <c r="C1477" s="1" t="n">
        <v>45586</v>
      </c>
      <c r="D1477" t="inlineStr">
        <is>
          <t>VÄSTRA GÖTALANDS LÄN</t>
        </is>
      </c>
      <c r="E1477" t="inlineStr">
        <is>
          <t>MELLERUD</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35383-2019</t>
        </is>
      </c>
      <c r="B1478" s="1" t="n">
        <v>43651</v>
      </c>
      <c r="C1478" s="1" t="n">
        <v>45586</v>
      </c>
      <c r="D1478" t="inlineStr">
        <is>
          <t>VÄSTRA GÖTALANDS LÄN</t>
        </is>
      </c>
      <c r="E1478" t="inlineStr">
        <is>
          <t>TANUM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35400-2019</t>
        </is>
      </c>
      <c r="B1479" s="1" t="n">
        <v>43651</v>
      </c>
      <c r="C1479" s="1" t="n">
        <v>45586</v>
      </c>
      <c r="D1479" t="inlineStr">
        <is>
          <t>VÄSTRA GÖTALANDS LÄN</t>
        </is>
      </c>
      <c r="E1479" t="inlineStr">
        <is>
          <t>VARA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33677-2019</t>
        </is>
      </c>
      <c r="B1480" s="1" t="n">
        <v>43651</v>
      </c>
      <c r="C1480" s="1" t="n">
        <v>45586</v>
      </c>
      <c r="D1480" t="inlineStr">
        <is>
          <t>VÄSTRA GÖTALANDS LÄN</t>
        </is>
      </c>
      <c r="E1480" t="inlineStr">
        <is>
          <t>TROLLHÄTTAN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33688-2019</t>
        </is>
      </c>
      <c r="B1481" s="1" t="n">
        <v>43651</v>
      </c>
      <c r="C1481" s="1" t="n">
        <v>45586</v>
      </c>
      <c r="D1481" t="inlineStr">
        <is>
          <t>VÄSTRA GÖTALANDS LÄN</t>
        </is>
      </c>
      <c r="E1481" t="inlineStr">
        <is>
          <t>KUNGÄLV</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33500-2019</t>
        </is>
      </c>
      <c r="B1482" s="1" t="n">
        <v>43651</v>
      </c>
      <c r="C1482" s="1" t="n">
        <v>45586</v>
      </c>
      <c r="D1482" t="inlineStr">
        <is>
          <t>VÄSTRA GÖTALANDS LÄN</t>
        </is>
      </c>
      <c r="E1482" t="inlineStr">
        <is>
          <t>DALS-ED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33862-2019</t>
        </is>
      </c>
      <c r="B1483" s="1" t="n">
        <v>43652</v>
      </c>
      <c r="C1483" s="1" t="n">
        <v>45586</v>
      </c>
      <c r="D1483" t="inlineStr">
        <is>
          <t>VÄSTRA GÖTALANDS LÄN</t>
        </is>
      </c>
      <c r="E1483" t="inlineStr">
        <is>
          <t>ORUST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33893-2019</t>
        </is>
      </c>
      <c r="B1484" s="1" t="n">
        <v>43653</v>
      </c>
      <c r="C1484" s="1" t="n">
        <v>45586</v>
      </c>
      <c r="D1484" t="inlineStr">
        <is>
          <t>VÄSTRA GÖTALANDS LÄN</t>
        </is>
      </c>
      <c r="E1484" t="inlineStr">
        <is>
          <t>ULRICEHAMN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33885-2019</t>
        </is>
      </c>
      <c r="B1485" s="1" t="n">
        <v>43653</v>
      </c>
      <c r="C1485" s="1" t="n">
        <v>45586</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33991-2019</t>
        </is>
      </c>
      <c r="B1486" s="1" t="n">
        <v>43654</v>
      </c>
      <c r="C1486" s="1" t="n">
        <v>45586</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33997-2019</t>
        </is>
      </c>
      <c r="B1487" s="1" t="n">
        <v>43654</v>
      </c>
      <c r="C1487" s="1" t="n">
        <v>45586</v>
      </c>
      <c r="D1487" t="inlineStr">
        <is>
          <t>VÄSTRA GÖTALANDS LÄN</t>
        </is>
      </c>
      <c r="E1487" t="inlineStr">
        <is>
          <t>TIDAHOLM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33979-2019</t>
        </is>
      </c>
      <c r="B1488" s="1" t="n">
        <v>43654</v>
      </c>
      <c r="C1488" s="1" t="n">
        <v>45586</v>
      </c>
      <c r="D1488" t="inlineStr">
        <is>
          <t>VÄSTRA GÖTALANDS LÄN</t>
        </is>
      </c>
      <c r="E1488" t="inlineStr">
        <is>
          <t>LIDKÖPING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34044-2019</t>
        </is>
      </c>
      <c r="B1489" s="1" t="n">
        <v>43654</v>
      </c>
      <c r="C1489" s="1" t="n">
        <v>45586</v>
      </c>
      <c r="D1489" t="inlineStr">
        <is>
          <t>VÄSTRA GÖTALANDS LÄN</t>
        </is>
      </c>
      <c r="E1489" t="inlineStr">
        <is>
          <t>TJÖRN</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34080-2019</t>
        </is>
      </c>
      <c r="B1490" s="1" t="n">
        <v>43654</v>
      </c>
      <c r="C1490" s="1" t="n">
        <v>45586</v>
      </c>
      <c r="D1490" t="inlineStr">
        <is>
          <t>VÄSTRA GÖTALANDS LÄN</t>
        </is>
      </c>
      <c r="E1490" t="inlineStr">
        <is>
          <t>TRANEMO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33936-2019</t>
        </is>
      </c>
      <c r="B1491" s="1" t="n">
        <v>43654</v>
      </c>
      <c r="C1491" s="1" t="n">
        <v>45586</v>
      </c>
      <c r="D1491" t="inlineStr">
        <is>
          <t>VÄSTRA GÖTALANDS LÄN</t>
        </is>
      </c>
      <c r="E1491" t="inlineStr">
        <is>
          <t>ESSUNGA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35539-2019</t>
        </is>
      </c>
      <c r="B1492" s="1" t="n">
        <v>43654</v>
      </c>
      <c r="C1492" s="1" t="n">
        <v>45586</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34220-2019</t>
        </is>
      </c>
      <c r="B1493" s="1" t="n">
        <v>43655</v>
      </c>
      <c r="C1493" s="1" t="n">
        <v>45586</v>
      </c>
      <c r="D1493" t="inlineStr">
        <is>
          <t>VÄSTRA GÖTALANDS LÄN</t>
        </is>
      </c>
      <c r="E1493" t="inlineStr">
        <is>
          <t>SKÖVDE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35676-2019</t>
        </is>
      </c>
      <c r="B1494" s="1" t="n">
        <v>43655</v>
      </c>
      <c r="C1494" s="1" t="n">
        <v>45586</v>
      </c>
      <c r="D1494" t="inlineStr">
        <is>
          <t>VÄSTRA GÖTALANDS LÄN</t>
        </is>
      </c>
      <c r="E1494" t="inlineStr">
        <is>
          <t>BENGTSFORS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34223-2019</t>
        </is>
      </c>
      <c r="B1495" s="1" t="n">
        <v>43655</v>
      </c>
      <c r="C1495" s="1" t="n">
        <v>45586</v>
      </c>
      <c r="D1495" t="inlineStr">
        <is>
          <t>VÄSTRA GÖTALANDS LÄN</t>
        </is>
      </c>
      <c r="E1495" t="inlineStr">
        <is>
          <t>SKÖVDE</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34254-2019</t>
        </is>
      </c>
      <c r="B1496" s="1" t="n">
        <v>43655</v>
      </c>
      <c r="C1496" s="1" t="n">
        <v>45586</v>
      </c>
      <c r="D1496" t="inlineStr">
        <is>
          <t>VÄSTRA GÖTALANDS LÄN</t>
        </is>
      </c>
      <c r="E1496" t="inlineStr">
        <is>
          <t>LILLA EDET</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34349-2019</t>
        </is>
      </c>
      <c r="B1497" s="1" t="n">
        <v>43656</v>
      </c>
      <c r="C1497" s="1" t="n">
        <v>45586</v>
      </c>
      <c r="D1497" t="inlineStr">
        <is>
          <t>VÄSTRA GÖTALANDS LÄN</t>
        </is>
      </c>
      <c r="E1497" t="inlineStr">
        <is>
          <t>VÅRGÅRDA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34342-2019</t>
        </is>
      </c>
      <c r="B1498" s="1" t="n">
        <v>43656</v>
      </c>
      <c r="C1498" s="1" t="n">
        <v>45586</v>
      </c>
      <c r="D1498" t="inlineStr">
        <is>
          <t>VÄSTRA GÖTALANDS LÄN</t>
        </is>
      </c>
      <c r="E1498" t="inlineStr">
        <is>
          <t>MARIESTAD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34389-2019</t>
        </is>
      </c>
      <c r="B1499" s="1" t="n">
        <v>43656</v>
      </c>
      <c r="C1499" s="1" t="n">
        <v>45586</v>
      </c>
      <c r="D1499" t="inlineStr">
        <is>
          <t>VÄSTRA GÖTALANDS LÄN</t>
        </is>
      </c>
      <c r="E1499" t="inlineStr">
        <is>
          <t>VÅRGÅRDA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34351-2019</t>
        </is>
      </c>
      <c r="B1500" s="1" t="n">
        <v>43656</v>
      </c>
      <c r="C1500" s="1" t="n">
        <v>45586</v>
      </c>
      <c r="D1500" t="inlineStr">
        <is>
          <t>VÄSTRA GÖTALANDS LÄN</t>
        </is>
      </c>
      <c r="E1500" t="inlineStr">
        <is>
          <t>BOLLEBYGD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34607-2019</t>
        </is>
      </c>
      <c r="B1501" s="1" t="n">
        <v>43657</v>
      </c>
      <c r="C1501" s="1" t="n">
        <v>45586</v>
      </c>
      <c r="D1501" t="inlineStr">
        <is>
          <t>VÄSTRA GÖTALANDS LÄN</t>
        </is>
      </c>
      <c r="E1501" t="inlineStr">
        <is>
          <t>DALS-ED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34706-2019</t>
        </is>
      </c>
      <c r="B1502" s="1" t="n">
        <v>43657</v>
      </c>
      <c r="C1502" s="1" t="n">
        <v>45586</v>
      </c>
      <c r="D1502" t="inlineStr">
        <is>
          <t>VÄSTRA GÖTALANDS LÄN</t>
        </is>
      </c>
      <c r="E1502" t="inlineStr">
        <is>
          <t>TJÖRN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34662-2019</t>
        </is>
      </c>
      <c r="B1503" s="1" t="n">
        <v>43657</v>
      </c>
      <c r="C1503" s="1" t="n">
        <v>45586</v>
      </c>
      <c r="D1503" t="inlineStr">
        <is>
          <t>VÄSTRA GÖTALANDS LÄN</t>
        </is>
      </c>
      <c r="E1503" t="inlineStr">
        <is>
          <t>ALINGSÅS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34710-2019</t>
        </is>
      </c>
      <c r="B1504" s="1" t="n">
        <v>43657</v>
      </c>
      <c r="C1504" s="1" t="n">
        <v>45586</v>
      </c>
      <c r="D1504" t="inlineStr">
        <is>
          <t>VÄSTRA GÖTALANDS LÄN</t>
        </is>
      </c>
      <c r="E1504" t="inlineStr">
        <is>
          <t>FALKÖPING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34878-2019</t>
        </is>
      </c>
      <c r="B1505" s="1" t="n">
        <v>43658</v>
      </c>
      <c r="C1505" s="1" t="n">
        <v>45586</v>
      </c>
      <c r="D1505" t="inlineStr">
        <is>
          <t>VÄSTRA GÖTALANDS LÄN</t>
        </is>
      </c>
      <c r="E1505" t="inlineStr">
        <is>
          <t>BENGTSFORS</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34759-2019</t>
        </is>
      </c>
      <c r="B1506" s="1" t="n">
        <v>43658</v>
      </c>
      <c r="C1506" s="1" t="n">
        <v>45586</v>
      </c>
      <c r="D1506" t="inlineStr">
        <is>
          <t>VÄSTRA GÖTALANDS LÄN</t>
        </is>
      </c>
      <c r="E1506" t="inlineStr">
        <is>
          <t>SVENLJUNGA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34832-2019</t>
        </is>
      </c>
      <c r="B1507" s="1" t="n">
        <v>43658</v>
      </c>
      <c r="C1507" s="1" t="n">
        <v>45586</v>
      </c>
      <c r="D1507" t="inlineStr">
        <is>
          <t>VÄSTRA GÖTALANDS LÄN</t>
        </is>
      </c>
      <c r="E1507" t="inlineStr">
        <is>
          <t>HERRLJUNGA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34941-2019</t>
        </is>
      </c>
      <c r="B1508" s="1" t="n">
        <v>43658</v>
      </c>
      <c r="C1508" s="1" t="n">
        <v>45586</v>
      </c>
      <c r="D1508" t="inlineStr">
        <is>
          <t>VÄSTRA GÖTALANDS LÄN</t>
        </is>
      </c>
      <c r="E1508" t="inlineStr">
        <is>
          <t>ALINGSÅS</t>
        </is>
      </c>
      <c r="F1508" t="inlineStr">
        <is>
          <t>Kyrkan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34924-2019</t>
        </is>
      </c>
      <c r="B1509" s="1" t="n">
        <v>43658</v>
      </c>
      <c r="C1509" s="1" t="n">
        <v>45586</v>
      </c>
      <c r="D1509" t="inlineStr">
        <is>
          <t>VÄSTRA GÖTALANDS LÄN</t>
        </is>
      </c>
      <c r="E1509" t="inlineStr">
        <is>
          <t>BOLLEBYGD</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34899-2019</t>
        </is>
      </c>
      <c r="B1510" s="1" t="n">
        <v>43658</v>
      </c>
      <c r="C1510" s="1" t="n">
        <v>45586</v>
      </c>
      <c r="D1510" t="inlineStr">
        <is>
          <t>VÄSTRA GÖTALANDS LÄN</t>
        </is>
      </c>
      <c r="E1510" t="inlineStr">
        <is>
          <t>TIDAHOLM</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34940-2019</t>
        </is>
      </c>
      <c r="B1511" s="1" t="n">
        <v>43658</v>
      </c>
      <c r="C1511" s="1" t="n">
        <v>45586</v>
      </c>
      <c r="D1511" t="inlineStr">
        <is>
          <t>VÄSTRA GÖTALANDS LÄN</t>
        </is>
      </c>
      <c r="E1511" t="inlineStr">
        <is>
          <t>TANUM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34867-2019</t>
        </is>
      </c>
      <c r="B1512" s="1" t="n">
        <v>43658</v>
      </c>
      <c r="C1512" s="1" t="n">
        <v>45586</v>
      </c>
      <c r="D1512" t="inlineStr">
        <is>
          <t>VÄSTRA GÖTALANDS LÄN</t>
        </is>
      </c>
      <c r="E1512" t="inlineStr">
        <is>
          <t>STRÖMSTAD</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34993-2019</t>
        </is>
      </c>
      <c r="B1513" s="1" t="n">
        <v>43660</v>
      </c>
      <c r="C1513" s="1" t="n">
        <v>45586</v>
      </c>
      <c r="D1513" t="inlineStr">
        <is>
          <t>VÄSTRA GÖTALANDS LÄN</t>
        </is>
      </c>
      <c r="E1513" t="inlineStr">
        <is>
          <t>HÄRRYDA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35010-2019</t>
        </is>
      </c>
      <c r="B1514" s="1" t="n">
        <v>43661</v>
      </c>
      <c r="C1514" s="1" t="n">
        <v>45586</v>
      </c>
      <c r="D1514" t="inlineStr">
        <is>
          <t>VÄSTRA GÖTALANDS LÄN</t>
        </is>
      </c>
      <c r="E1514" t="inlineStr">
        <is>
          <t>MELLERUD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35241-2019</t>
        </is>
      </c>
      <c r="B1515" s="1" t="n">
        <v>43662</v>
      </c>
      <c r="C1515" s="1" t="n">
        <v>45586</v>
      </c>
      <c r="D1515" t="inlineStr">
        <is>
          <t>VÄSTRA GÖTALANDS LÄN</t>
        </is>
      </c>
      <c r="E1515" t="inlineStr">
        <is>
          <t>VÄNERSBORG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35232-2019</t>
        </is>
      </c>
      <c r="B1516" s="1" t="n">
        <v>43662</v>
      </c>
      <c r="C1516" s="1" t="n">
        <v>45586</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37613-2019</t>
        </is>
      </c>
      <c r="B1517" s="1" t="n">
        <v>43662</v>
      </c>
      <c r="C1517" s="1" t="n">
        <v>45586</v>
      </c>
      <c r="D1517" t="inlineStr">
        <is>
          <t>VÄSTRA GÖTALANDS LÄN</t>
        </is>
      </c>
      <c r="E1517" t="inlineStr">
        <is>
          <t>BORÅS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35204-2019</t>
        </is>
      </c>
      <c r="B1518" s="1" t="n">
        <v>43662</v>
      </c>
      <c r="C1518" s="1" t="n">
        <v>45586</v>
      </c>
      <c r="D1518" t="inlineStr">
        <is>
          <t>VÄSTRA GÖTALANDS LÄN</t>
        </is>
      </c>
      <c r="E1518" t="inlineStr">
        <is>
          <t>FÄRGELANDA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35239-2019</t>
        </is>
      </c>
      <c r="B1519" s="1" t="n">
        <v>43662</v>
      </c>
      <c r="C1519" s="1" t="n">
        <v>45586</v>
      </c>
      <c r="D1519" t="inlineStr">
        <is>
          <t>VÄSTRA GÖTALANDS LÄN</t>
        </is>
      </c>
      <c r="E1519" t="inlineStr">
        <is>
          <t>VÄNERSBORG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35240-2019</t>
        </is>
      </c>
      <c r="B1520" s="1" t="n">
        <v>43662</v>
      </c>
      <c r="C1520" s="1" t="n">
        <v>45586</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36413-2019</t>
        </is>
      </c>
      <c r="B1521" s="1" t="n">
        <v>43663</v>
      </c>
      <c r="C1521" s="1" t="n">
        <v>45586</v>
      </c>
      <c r="D1521" t="inlineStr">
        <is>
          <t>VÄSTRA GÖTALANDS LÄN</t>
        </is>
      </c>
      <c r="E1521" t="inlineStr">
        <is>
          <t>FALKÖPING</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35372-2019</t>
        </is>
      </c>
      <c r="B1522" s="1" t="n">
        <v>43663</v>
      </c>
      <c r="C1522" s="1" t="n">
        <v>45586</v>
      </c>
      <c r="D1522" t="inlineStr">
        <is>
          <t>VÄSTRA GÖTALANDS LÄN</t>
        </is>
      </c>
      <c r="E1522" t="inlineStr">
        <is>
          <t>VÄNERSBORG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35549-2019</t>
        </is>
      </c>
      <c r="B1523" s="1" t="n">
        <v>43664</v>
      </c>
      <c r="C1523" s="1" t="n">
        <v>45586</v>
      </c>
      <c r="D1523" t="inlineStr">
        <is>
          <t>VÄSTRA GÖTALANDS LÄN</t>
        </is>
      </c>
      <c r="E1523" t="inlineStr">
        <is>
          <t>ULRICEHAMN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35619-2019</t>
        </is>
      </c>
      <c r="B1524" s="1" t="n">
        <v>43664</v>
      </c>
      <c r="C1524" s="1" t="n">
        <v>45586</v>
      </c>
      <c r="D1524" t="inlineStr">
        <is>
          <t>VÄSTRA GÖTALANDS LÄN</t>
        </is>
      </c>
      <c r="E1524" t="inlineStr">
        <is>
          <t>TRANEMO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36458-2019</t>
        </is>
      </c>
      <c r="B1525" s="1" t="n">
        <v>43664</v>
      </c>
      <c r="C1525" s="1" t="n">
        <v>45586</v>
      </c>
      <c r="D1525" t="inlineStr">
        <is>
          <t>VÄSTRA GÖTALANDS LÄN</t>
        </is>
      </c>
      <c r="E1525" t="inlineStr">
        <is>
          <t>GULLSPÅNG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36460-2019</t>
        </is>
      </c>
      <c r="B1526" s="1" t="n">
        <v>43664</v>
      </c>
      <c r="C1526" s="1" t="n">
        <v>45586</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35538-2019</t>
        </is>
      </c>
      <c r="B1527" s="1" t="n">
        <v>43664</v>
      </c>
      <c r="C1527" s="1" t="n">
        <v>45586</v>
      </c>
      <c r="D1527" t="inlineStr">
        <is>
          <t>VÄSTRA GÖTALANDS LÄN</t>
        </is>
      </c>
      <c r="E1527" t="inlineStr">
        <is>
          <t>KUNGÄLV</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35809-2019</t>
        </is>
      </c>
      <c r="B1528" s="1" t="n">
        <v>43665</v>
      </c>
      <c r="C1528" s="1" t="n">
        <v>45586</v>
      </c>
      <c r="D1528" t="inlineStr">
        <is>
          <t>VÄSTRA GÖTALANDS LÄN</t>
        </is>
      </c>
      <c r="E1528" t="inlineStr">
        <is>
          <t>UDDEVALLA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35947-2019</t>
        </is>
      </c>
      <c r="B1529" s="1" t="n">
        <v>43665</v>
      </c>
      <c r="C1529" s="1" t="n">
        <v>45586</v>
      </c>
      <c r="D1529" t="inlineStr">
        <is>
          <t>VÄSTRA GÖTALANDS LÄN</t>
        </is>
      </c>
      <c r="E1529" t="inlineStr">
        <is>
          <t>UDDEVALLA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35951-2019</t>
        </is>
      </c>
      <c r="B1530" s="1" t="n">
        <v>43665</v>
      </c>
      <c r="C1530" s="1" t="n">
        <v>45586</v>
      </c>
      <c r="D1530" t="inlineStr">
        <is>
          <t>VÄSTRA GÖTALANDS LÄN</t>
        </is>
      </c>
      <c r="E1530" t="inlineStr">
        <is>
          <t>ALINGSÅS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36524-2019</t>
        </is>
      </c>
      <c r="B1531" s="1" t="n">
        <v>43668</v>
      </c>
      <c r="C1531" s="1" t="n">
        <v>45586</v>
      </c>
      <c r="D1531" t="inlineStr">
        <is>
          <t>VÄSTRA GÖTALANDS LÄN</t>
        </is>
      </c>
      <c r="E1531" t="inlineStr">
        <is>
          <t>LYSEKIL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36634-2019</t>
        </is>
      </c>
      <c r="B1532" s="1" t="n">
        <v>43669</v>
      </c>
      <c r="C1532" s="1" t="n">
        <v>45586</v>
      </c>
      <c r="D1532" t="inlineStr">
        <is>
          <t>VÄSTRA GÖTALANDS LÄN</t>
        </is>
      </c>
      <c r="E1532" t="inlineStr">
        <is>
          <t>STENUNGSUND</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36203-2019</t>
        </is>
      </c>
      <c r="B1533" s="1" t="n">
        <v>43669</v>
      </c>
      <c r="C1533" s="1" t="n">
        <v>45586</v>
      </c>
      <c r="D1533" t="inlineStr">
        <is>
          <t>VÄSTRA GÖTALANDS LÄN</t>
        </is>
      </c>
      <c r="E1533" t="inlineStr">
        <is>
          <t>GÖTENE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36191-2019</t>
        </is>
      </c>
      <c r="B1534" s="1" t="n">
        <v>43669</v>
      </c>
      <c r="C1534" s="1" t="n">
        <v>45586</v>
      </c>
      <c r="D1534" t="inlineStr">
        <is>
          <t>VÄSTRA GÖTALANDS LÄN</t>
        </is>
      </c>
      <c r="E1534" t="inlineStr">
        <is>
          <t>HERRLJUNGA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36338-2019</t>
        </is>
      </c>
      <c r="B1535" s="1" t="n">
        <v>43669</v>
      </c>
      <c r="C1535" s="1" t="n">
        <v>45586</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36339-2019</t>
        </is>
      </c>
      <c r="B1536" s="1" t="n">
        <v>43670</v>
      </c>
      <c r="C1536" s="1" t="n">
        <v>45586</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36401-2019</t>
        </is>
      </c>
      <c r="B1537" s="1" t="n">
        <v>43670</v>
      </c>
      <c r="C1537" s="1" t="n">
        <v>45586</v>
      </c>
      <c r="D1537" t="inlineStr">
        <is>
          <t>VÄSTRA GÖTALANDS LÄN</t>
        </is>
      </c>
      <c r="E1537" t="inlineStr">
        <is>
          <t>BENGTSFORS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36412-2019</t>
        </is>
      </c>
      <c r="B1538" s="1" t="n">
        <v>43670</v>
      </c>
      <c r="C1538" s="1" t="n">
        <v>45586</v>
      </c>
      <c r="D1538" t="inlineStr">
        <is>
          <t>VÄSTRA GÖTALANDS LÄN</t>
        </is>
      </c>
      <c r="E1538" t="inlineStr">
        <is>
          <t>HJO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36507-2019</t>
        </is>
      </c>
      <c r="B1539" s="1" t="n">
        <v>43671</v>
      </c>
      <c r="C1539" s="1" t="n">
        <v>45586</v>
      </c>
      <c r="D1539" t="inlineStr">
        <is>
          <t>VÄSTRA GÖTALANDS LÄN</t>
        </is>
      </c>
      <c r="E1539" t="inlineStr">
        <is>
          <t>TIDAHOLM</t>
        </is>
      </c>
      <c r="F1539" t="inlineStr">
        <is>
          <t>Sveaskog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36576-2019</t>
        </is>
      </c>
      <c r="B1540" s="1" t="n">
        <v>43671</v>
      </c>
      <c r="C1540" s="1" t="n">
        <v>45586</v>
      </c>
      <c r="D1540" t="inlineStr">
        <is>
          <t>VÄSTRA GÖTALANDS LÄN</t>
        </is>
      </c>
      <c r="E1540" t="inlineStr">
        <is>
          <t>SKARA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36662-2019</t>
        </is>
      </c>
      <c r="B1541" s="1" t="n">
        <v>43671</v>
      </c>
      <c r="C1541" s="1" t="n">
        <v>45586</v>
      </c>
      <c r="D1541" t="inlineStr">
        <is>
          <t>VÄSTRA GÖTALANDS LÄN</t>
        </is>
      </c>
      <c r="E1541" t="inlineStr">
        <is>
          <t>FALKÖPING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36567-2019</t>
        </is>
      </c>
      <c r="B1542" s="1" t="n">
        <v>43671</v>
      </c>
      <c r="C1542" s="1" t="n">
        <v>45586</v>
      </c>
      <c r="D1542" t="inlineStr">
        <is>
          <t>VÄSTRA GÖTALANDS LÄN</t>
        </is>
      </c>
      <c r="E1542" t="inlineStr">
        <is>
          <t>MARK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36764-2019</t>
        </is>
      </c>
      <c r="B1543" s="1" t="n">
        <v>43672</v>
      </c>
      <c r="C1543" s="1" t="n">
        <v>45586</v>
      </c>
      <c r="D1543" t="inlineStr">
        <is>
          <t>VÄSTRA GÖTALANDS LÄN</t>
        </is>
      </c>
      <c r="E1543" t="inlineStr">
        <is>
          <t>MARIESTAD</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36762-2019</t>
        </is>
      </c>
      <c r="B1544" s="1" t="n">
        <v>43672</v>
      </c>
      <c r="C1544" s="1" t="n">
        <v>45586</v>
      </c>
      <c r="D1544" t="inlineStr">
        <is>
          <t>VÄSTRA GÖTALANDS LÄN</t>
        </is>
      </c>
      <c r="E1544" t="inlineStr">
        <is>
          <t>MARIESTAD</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36769-2019</t>
        </is>
      </c>
      <c r="B1545" s="1" t="n">
        <v>43672</v>
      </c>
      <c r="C1545" s="1" t="n">
        <v>45586</v>
      </c>
      <c r="D1545" t="inlineStr">
        <is>
          <t>VÄSTRA GÖTALANDS LÄN</t>
        </is>
      </c>
      <c r="E1545" t="inlineStr">
        <is>
          <t>MARIESTAD</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36790-2019</t>
        </is>
      </c>
      <c r="B1546" s="1" t="n">
        <v>43672</v>
      </c>
      <c r="C1546" s="1" t="n">
        <v>45586</v>
      </c>
      <c r="D1546" t="inlineStr">
        <is>
          <t>VÄSTRA GÖTALANDS LÄN</t>
        </is>
      </c>
      <c r="E1546" t="inlineStr">
        <is>
          <t>HERRLJUNGA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36768-2019</t>
        </is>
      </c>
      <c r="B1547" s="1" t="n">
        <v>43672</v>
      </c>
      <c r="C1547" s="1" t="n">
        <v>45586</v>
      </c>
      <c r="D1547" t="inlineStr">
        <is>
          <t>VÄSTRA GÖTALANDS LÄN</t>
        </is>
      </c>
      <c r="E1547" t="inlineStr">
        <is>
          <t>MARIESTAD</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37049-2019</t>
        </is>
      </c>
      <c r="B1548" s="1" t="n">
        <v>43676</v>
      </c>
      <c r="C1548" s="1" t="n">
        <v>45586</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37059-2019</t>
        </is>
      </c>
      <c r="B1549" s="1" t="n">
        <v>43676</v>
      </c>
      <c r="C1549" s="1" t="n">
        <v>45586</v>
      </c>
      <c r="D1549" t="inlineStr">
        <is>
          <t>VÄSTRA GÖTALANDS LÄN</t>
        </is>
      </c>
      <c r="E1549" t="inlineStr">
        <is>
          <t>SVENLJUNGA</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37057-2019</t>
        </is>
      </c>
      <c r="B1550" s="1" t="n">
        <v>43676</v>
      </c>
      <c r="C1550" s="1" t="n">
        <v>45586</v>
      </c>
      <c r="D1550" t="inlineStr">
        <is>
          <t>VÄSTRA GÖTALANDS LÄN</t>
        </is>
      </c>
      <c r="E1550" t="inlineStr">
        <is>
          <t>BORÅS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37068-2019</t>
        </is>
      </c>
      <c r="B1551" s="1" t="n">
        <v>43676</v>
      </c>
      <c r="C1551" s="1" t="n">
        <v>45586</v>
      </c>
      <c r="D1551" t="inlineStr">
        <is>
          <t>VÄSTRA GÖTALANDS LÄN</t>
        </is>
      </c>
      <c r="E1551" t="inlineStr">
        <is>
          <t>SVENLJUNGA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37061-2019</t>
        </is>
      </c>
      <c r="B1552" s="1" t="n">
        <v>43676</v>
      </c>
      <c r="C1552" s="1" t="n">
        <v>45586</v>
      </c>
      <c r="D1552" t="inlineStr">
        <is>
          <t>VÄSTRA GÖTALANDS LÄN</t>
        </is>
      </c>
      <c r="E1552" t="inlineStr">
        <is>
          <t>SVENLJUNGA</t>
        </is>
      </c>
      <c r="F1552" t="inlineStr">
        <is>
          <t>Sveaskog</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37035-2019</t>
        </is>
      </c>
      <c r="B1553" s="1" t="n">
        <v>43676</v>
      </c>
      <c r="C1553" s="1" t="n">
        <v>45586</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37080-2019</t>
        </is>
      </c>
      <c r="B1554" s="1" t="n">
        <v>43676</v>
      </c>
      <c r="C1554" s="1" t="n">
        <v>45586</v>
      </c>
      <c r="D1554" t="inlineStr">
        <is>
          <t>VÄSTRA GÖTALANDS LÄN</t>
        </is>
      </c>
      <c r="E1554" t="inlineStr">
        <is>
          <t>MELLERUD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37067-2019</t>
        </is>
      </c>
      <c r="B1555" s="1" t="n">
        <v>43676</v>
      </c>
      <c r="C1555" s="1" t="n">
        <v>45586</v>
      </c>
      <c r="D1555" t="inlineStr">
        <is>
          <t>VÄSTRA GÖTALANDS LÄN</t>
        </is>
      </c>
      <c r="E1555" t="inlineStr">
        <is>
          <t>SVENLJUNGA</t>
        </is>
      </c>
      <c r="F1555" t="inlineStr">
        <is>
          <t>Sveaskog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37029-2019</t>
        </is>
      </c>
      <c r="B1556" s="1" t="n">
        <v>43676</v>
      </c>
      <c r="C1556" s="1" t="n">
        <v>45586</v>
      </c>
      <c r="D1556" t="inlineStr">
        <is>
          <t>VÄSTRA GÖTALANDS LÄN</t>
        </is>
      </c>
      <c r="E1556" t="inlineStr">
        <is>
          <t>ESSUNGA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37217-2019</t>
        </is>
      </c>
      <c r="B1557" s="1" t="n">
        <v>43677</v>
      </c>
      <c r="C1557" s="1" t="n">
        <v>45586</v>
      </c>
      <c r="D1557" t="inlineStr">
        <is>
          <t>VÄSTRA GÖTALANDS LÄN</t>
        </is>
      </c>
      <c r="E1557" t="inlineStr">
        <is>
          <t>MARIESTAD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37275-2019</t>
        </is>
      </c>
      <c r="B1558" s="1" t="n">
        <v>43677</v>
      </c>
      <c r="C1558" s="1" t="n">
        <v>45586</v>
      </c>
      <c r="D1558" t="inlineStr">
        <is>
          <t>VÄSTRA GÖTALANDS LÄN</t>
        </is>
      </c>
      <c r="E1558" t="inlineStr">
        <is>
          <t>TIBRO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37238-2019</t>
        </is>
      </c>
      <c r="B1559" s="1" t="n">
        <v>43677</v>
      </c>
      <c r="C1559" s="1" t="n">
        <v>45586</v>
      </c>
      <c r="D1559" t="inlineStr">
        <is>
          <t>VÄSTRA GÖTALANDS LÄN</t>
        </is>
      </c>
      <c r="E1559" t="inlineStr">
        <is>
          <t>MARIESTAD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37242-2019</t>
        </is>
      </c>
      <c r="B1560" s="1" t="n">
        <v>43677</v>
      </c>
      <c r="C1560" s="1" t="n">
        <v>45586</v>
      </c>
      <c r="D1560" t="inlineStr">
        <is>
          <t>VÄSTRA GÖTALANDS LÄN</t>
        </is>
      </c>
      <c r="E1560" t="inlineStr">
        <is>
          <t>MARIESTAD</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37336-2019</t>
        </is>
      </c>
      <c r="B1561" s="1" t="n">
        <v>43678</v>
      </c>
      <c r="C1561" s="1" t="n">
        <v>45586</v>
      </c>
      <c r="D1561" t="inlineStr">
        <is>
          <t>VÄSTRA GÖTALANDS LÄN</t>
        </is>
      </c>
      <c r="E1561" t="inlineStr">
        <is>
          <t>MARIESTAD</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37614-2019</t>
        </is>
      </c>
      <c r="B1562" s="1" t="n">
        <v>43678</v>
      </c>
      <c r="C1562" s="1" t="n">
        <v>45586</v>
      </c>
      <c r="D1562" t="inlineStr">
        <is>
          <t>VÄSTRA GÖTALANDS LÄN</t>
        </is>
      </c>
      <c r="E1562" t="inlineStr">
        <is>
          <t>MARK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37361-2019</t>
        </is>
      </c>
      <c r="B1563" s="1" t="n">
        <v>43678</v>
      </c>
      <c r="C1563" s="1" t="n">
        <v>45586</v>
      </c>
      <c r="D1563" t="inlineStr">
        <is>
          <t>VÄSTRA GÖTALANDS LÄN</t>
        </is>
      </c>
      <c r="E1563" t="inlineStr">
        <is>
          <t>ALINGSÅS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37388-2019</t>
        </is>
      </c>
      <c r="B1564" s="1" t="n">
        <v>43678</v>
      </c>
      <c r="C1564" s="1" t="n">
        <v>45586</v>
      </c>
      <c r="D1564" t="inlineStr">
        <is>
          <t>VÄSTRA GÖTALANDS LÄN</t>
        </is>
      </c>
      <c r="E1564" t="inlineStr">
        <is>
          <t>GULLSPÅNG</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37552-2019</t>
        </is>
      </c>
      <c r="B1565" s="1" t="n">
        <v>43678</v>
      </c>
      <c r="C1565" s="1" t="n">
        <v>45586</v>
      </c>
      <c r="D1565" t="inlineStr">
        <is>
          <t>VÄSTRA GÖTALANDS LÄN</t>
        </is>
      </c>
      <c r="E1565" t="inlineStr">
        <is>
          <t>BORÅS</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37389-2019</t>
        </is>
      </c>
      <c r="B1566" s="1" t="n">
        <v>43678</v>
      </c>
      <c r="C1566" s="1" t="n">
        <v>45586</v>
      </c>
      <c r="D1566" t="inlineStr">
        <is>
          <t>VÄSTRA GÖTALANDS LÄN</t>
        </is>
      </c>
      <c r="E1566" t="inlineStr">
        <is>
          <t>GULLSPÅNG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37502-2019</t>
        </is>
      </c>
      <c r="B1567" s="1" t="n">
        <v>43679</v>
      </c>
      <c r="C1567" s="1" t="n">
        <v>45586</v>
      </c>
      <c r="D1567" t="inlineStr">
        <is>
          <t>VÄSTRA GÖTALANDS LÄN</t>
        </is>
      </c>
      <c r="E1567" t="inlineStr">
        <is>
          <t>FÄRGELANDA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37550-2019</t>
        </is>
      </c>
      <c r="B1568" s="1" t="n">
        <v>43679</v>
      </c>
      <c r="C1568" s="1" t="n">
        <v>45586</v>
      </c>
      <c r="D1568" t="inlineStr">
        <is>
          <t>VÄSTRA GÖTALANDS LÄN</t>
        </is>
      </c>
      <c r="E1568" t="inlineStr">
        <is>
          <t>MARK</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37611-2019</t>
        </is>
      </c>
      <c r="B1569" s="1" t="n">
        <v>43681</v>
      </c>
      <c r="C1569" s="1" t="n">
        <v>45586</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37674-2019</t>
        </is>
      </c>
      <c r="B1570" s="1" t="n">
        <v>43682</v>
      </c>
      <c r="C1570" s="1" t="n">
        <v>45586</v>
      </c>
      <c r="D1570" t="inlineStr">
        <is>
          <t>VÄSTRA GÖTALANDS LÄN</t>
        </is>
      </c>
      <c r="E1570" t="inlineStr">
        <is>
          <t>LIDKÖPING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37861-2019</t>
        </is>
      </c>
      <c r="B1571" s="1" t="n">
        <v>43682</v>
      </c>
      <c r="C1571" s="1" t="n">
        <v>45586</v>
      </c>
      <c r="D1571" t="inlineStr">
        <is>
          <t>VÄSTRA GÖTALANDS LÄN</t>
        </is>
      </c>
      <c r="E1571" t="inlineStr">
        <is>
          <t>TIDAHOLM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37858-2019</t>
        </is>
      </c>
      <c r="B1572" s="1" t="n">
        <v>43682</v>
      </c>
      <c r="C1572" s="1" t="n">
        <v>45586</v>
      </c>
      <c r="D1572" t="inlineStr">
        <is>
          <t>VÄSTRA GÖTALANDS LÄN</t>
        </is>
      </c>
      <c r="E1572" t="inlineStr">
        <is>
          <t>MARK</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38090-2019</t>
        </is>
      </c>
      <c r="B1573" s="1" t="n">
        <v>43682</v>
      </c>
      <c r="C1573" s="1" t="n">
        <v>45586</v>
      </c>
      <c r="D1573" t="inlineStr">
        <is>
          <t>VÄSTRA GÖTALANDS LÄN</t>
        </is>
      </c>
      <c r="E1573" t="inlineStr">
        <is>
          <t>BORÅS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37864-2019</t>
        </is>
      </c>
      <c r="B1574" s="1" t="n">
        <v>43682</v>
      </c>
      <c r="C1574" s="1" t="n">
        <v>45586</v>
      </c>
      <c r="D1574" t="inlineStr">
        <is>
          <t>VÄSTRA GÖTALANDS LÄN</t>
        </is>
      </c>
      <c r="E1574" t="inlineStr">
        <is>
          <t>TROLLHÄTTAN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37917-2019</t>
        </is>
      </c>
      <c r="B1575" s="1" t="n">
        <v>43683</v>
      </c>
      <c r="C1575" s="1" t="n">
        <v>45586</v>
      </c>
      <c r="D1575" t="inlineStr">
        <is>
          <t>VÄSTRA GÖTALANDS LÄN</t>
        </is>
      </c>
      <c r="E1575" t="inlineStr">
        <is>
          <t>GÖTENE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37949-2019</t>
        </is>
      </c>
      <c r="B1576" s="1" t="n">
        <v>43683</v>
      </c>
      <c r="C1576" s="1" t="n">
        <v>45586</v>
      </c>
      <c r="D1576" t="inlineStr">
        <is>
          <t>VÄSTRA GÖTALANDS LÄN</t>
        </is>
      </c>
      <c r="E1576" t="inlineStr">
        <is>
          <t>KARLSBORG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37957-2019</t>
        </is>
      </c>
      <c r="B1577" s="1" t="n">
        <v>43683</v>
      </c>
      <c r="C1577" s="1" t="n">
        <v>45586</v>
      </c>
      <c r="D1577" t="inlineStr">
        <is>
          <t>VÄSTRA GÖTALANDS LÄN</t>
        </is>
      </c>
      <c r="E1577" t="inlineStr">
        <is>
          <t>BENGTSFORS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37938-2019</t>
        </is>
      </c>
      <c r="B1578" s="1" t="n">
        <v>43683</v>
      </c>
      <c r="C1578" s="1" t="n">
        <v>45586</v>
      </c>
      <c r="D1578" t="inlineStr">
        <is>
          <t>VÄSTRA GÖTALANDS LÄN</t>
        </is>
      </c>
      <c r="E1578" t="inlineStr">
        <is>
          <t>HJO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37942-2019</t>
        </is>
      </c>
      <c r="B1579" s="1" t="n">
        <v>43683</v>
      </c>
      <c r="C1579" s="1" t="n">
        <v>45586</v>
      </c>
      <c r="D1579" t="inlineStr">
        <is>
          <t>VÄSTRA GÖTALANDS LÄN</t>
        </is>
      </c>
      <c r="E1579" t="inlineStr">
        <is>
          <t>KARLSBORG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37941-2019</t>
        </is>
      </c>
      <c r="B1580" s="1" t="n">
        <v>43683</v>
      </c>
      <c r="C1580" s="1" t="n">
        <v>45586</v>
      </c>
      <c r="D1580" t="inlineStr">
        <is>
          <t>VÄSTRA GÖTALANDS LÄN</t>
        </is>
      </c>
      <c r="E1580" t="inlineStr">
        <is>
          <t>KARLSBORG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38109-2019</t>
        </is>
      </c>
      <c r="B1581" s="1" t="n">
        <v>43683</v>
      </c>
      <c r="C1581" s="1" t="n">
        <v>45586</v>
      </c>
      <c r="D1581" t="inlineStr">
        <is>
          <t>VÄSTRA GÖTALANDS LÄN</t>
        </is>
      </c>
      <c r="E1581" t="inlineStr">
        <is>
          <t>TIDAHOLM</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38029-2019</t>
        </is>
      </c>
      <c r="B1582" s="1" t="n">
        <v>43683</v>
      </c>
      <c r="C1582" s="1" t="n">
        <v>45586</v>
      </c>
      <c r="D1582" t="inlineStr">
        <is>
          <t>VÄSTRA GÖTALANDS LÄN</t>
        </is>
      </c>
      <c r="E1582" t="inlineStr">
        <is>
          <t>VÅRGÅRDA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38043-2019</t>
        </is>
      </c>
      <c r="B1583" s="1" t="n">
        <v>43683</v>
      </c>
      <c r="C1583" s="1" t="n">
        <v>45586</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38444-2019</t>
        </is>
      </c>
      <c r="B1584" s="1" t="n">
        <v>43683</v>
      </c>
      <c r="C1584" s="1" t="n">
        <v>45586</v>
      </c>
      <c r="D1584" t="inlineStr">
        <is>
          <t>VÄSTRA GÖTALANDS LÄN</t>
        </is>
      </c>
      <c r="E1584" t="inlineStr">
        <is>
          <t>LIDKÖPING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37964-2019</t>
        </is>
      </c>
      <c r="B1585" s="1" t="n">
        <v>43683</v>
      </c>
      <c r="C1585" s="1" t="n">
        <v>45586</v>
      </c>
      <c r="D1585" t="inlineStr">
        <is>
          <t>VÄSTRA GÖTALANDS LÄN</t>
        </is>
      </c>
      <c r="E1585" t="inlineStr">
        <is>
          <t>ÅMÅL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38408-2019</t>
        </is>
      </c>
      <c r="B1586" s="1" t="n">
        <v>43683</v>
      </c>
      <c r="C1586" s="1" t="n">
        <v>45586</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38302-2019</t>
        </is>
      </c>
      <c r="B1587" s="1" t="n">
        <v>43684</v>
      </c>
      <c r="C1587" s="1" t="n">
        <v>45586</v>
      </c>
      <c r="D1587" t="inlineStr">
        <is>
          <t>VÄSTRA GÖTALANDS LÄN</t>
        </is>
      </c>
      <c r="E1587" t="inlineStr">
        <is>
          <t>FÄRGELANDA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38192-2019</t>
        </is>
      </c>
      <c r="B1588" s="1" t="n">
        <v>43684</v>
      </c>
      <c r="C1588" s="1" t="n">
        <v>45586</v>
      </c>
      <c r="D1588" t="inlineStr">
        <is>
          <t>VÄSTRA GÖTALANDS LÄN</t>
        </is>
      </c>
      <c r="E1588" t="inlineStr">
        <is>
          <t>ALINGSÅS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38292-2019</t>
        </is>
      </c>
      <c r="B1589" s="1" t="n">
        <v>43684</v>
      </c>
      <c r="C1589" s="1" t="n">
        <v>45586</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38195-2019</t>
        </is>
      </c>
      <c r="B1590" s="1" t="n">
        <v>43684</v>
      </c>
      <c r="C1590" s="1" t="n">
        <v>45586</v>
      </c>
      <c r="D1590" t="inlineStr">
        <is>
          <t>VÄSTRA GÖTALANDS LÄN</t>
        </is>
      </c>
      <c r="E1590" t="inlineStr">
        <is>
          <t>ALINGSÅS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38503-2019</t>
        </is>
      </c>
      <c r="B1591" s="1" t="n">
        <v>43685</v>
      </c>
      <c r="C1591" s="1" t="n">
        <v>45586</v>
      </c>
      <c r="D1591" t="inlineStr">
        <is>
          <t>VÄSTRA GÖTALANDS LÄN</t>
        </is>
      </c>
      <c r="E1591" t="inlineStr">
        <is>
          <t>KARLSBORG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38517-2019</t>
        </is>
      </c>
      <c r="B1592" s="1" t="n">
        <v>43685</v>
      </c>
      <c r="C1592" s="1" t="n">
        <v>45586</v>
      </c>
      <c r="D1592" t="inlineStr">
        <is>
          <t>VÄSTRA GÖTALANDS LÄN</t>
        </is>
      </c>
      <c r="E1592" t="inlineStr">
        <is>
          <t>SKARA</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38536-2019</t>
        </is>
      </c>
      <c r="B1593" s="1" t="n">
        <v>43685</v>
      </c>
      <c r="C1593" s="1" t="n">
        <v>45586</v>
      </c>
      <c r="D1593" t="inlineStr">
        <is>
          <t>VÄSTRA GÖTALANDS LÄN</t>
        </is>
      </c>
      <c r="E1593" t="inlineStr">
        <is>
          <t>KARLSBORG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38552-2019</t>
        </is>
      </c>
      <c r="B1594" s="1" t="n">
        <v>43685</v>
      </c>
      <c r="C1594" s="1" t="n">
        <v>45586</v>
      </c>
      <c r="D1594" t="inlineStr">
        <is>
          <t>VÄSTRA GÖTALANDS LÄN</t>
        </is>
      </c>
      <c r="E1594" t="inlineStr">
        <is>
          <t>FALKÖPING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38502-2019</t>
        </is>
      </c>
      <c r="B1595" s="1" t="n">
        <v>43685</v>
      </c>
      <c r="C1595" s="1" t="n">
        <v>45586</v>
      </c>
      <c r="D1595" t="inlineStr">
        <is>
          <t>VÄSTRA GÖTALANDS LÄN</t>
        </is>
      </c>
      <c r="E1595" t="inlineStr">
        <is>
          <t>DALS-ED</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38512-2019</t>
        </is>
      </c>
      <c r="B1596" s="1" t="n">
        <v>43685</v>
      </c>
      <c r="C1596" s="1" t="n">
        <v>45586</v>
      </c>
      <c r="D1596" t="inlineStr">
        <is>
          <t>VÄSTRA GÖTALANDS LÄN</t>
        </is>
      </c>
      <c r="E1596" t="inlineStr">
        <is>
          <t>DALS-ED</t>
        </is>
      </c>
      <c r="G1596" t="n">
        <v>24.8</v>
      </c>
      <c r="H1596" t="n">
        <v>0</v>
      </c>
      <c r="I1596" t="n">
        <v>0</v>
      </c>
      <c r="J1596" t="n">
        <v>0</v>
      </c>
      <c r="K1596" t="n">
        <v>0</v>
      </c>
      <c r="L1596" t="n">
        <v>0</v>
      </c>
      <c r="M1596" t="n">
        <v>0</v>
      </c>
      <c r="N1596" t="n">
        <v>0</v>
      </c>
      <c r="O1596" t="n">
        <v>0</v>
      </c>
      <c r="P1596" t="n">
        <v>0</v>
      </c>
      <c r="Q1596" t="n">
        <v>0</v>
      </c>
      <c r="R1596" s="2" t="inlineStr"/>
    </row>
    <row r="1597" ht="15" customHeight="1">
      <c r="A1597" t="inlineStr">
        <is>
          <t>A 38496-2019</t>
        </is>
      </c>
      <c r="B1597" s="1" t="n">
        <v>43685</v>
      </c>
      <c r="C1597" s="1" t="n">
        <v>45586</v>
      </c>
      <c r="D1597" t="inlineStr">
        <is>
          <t>VÄSTRA GÖTALANDS LÄN</t>
        </is>
      </c>
      <c r="E1597" t="inlineStr">
        <is>
          <t>KARLSBORG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38553-2019</t>
        </is>
      </c>
      <c r="B1598" s="1" t="n">
        <v>43685</v>
      </c>
      <c r="C1598" s="1" t="n">
        <v>45586</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39195-2019</t>
        </is>
      </c>
      <c r="B1599" s="1" t="n">
        <v>43685</v>
      </c>
      <c r="C1599" s="1" t="n">
        <v>45586</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38501-2019</t>
        </is>
      </c>
      <c r="B1600" s="1" t="n">
        <v>43685</v>
      </c>
      <c r="C1600" s="1" t="n">
        <v>45586</v>
      </c>
      <c r="D1600" t="inlineStr">
        <is>
          <t>VÄSTRA GÖTALANDS LÄN</t>
        </is>
      </c>
      <c r="E1600" t="inlineStr">
        <is>
          <t>KARLSBORG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38705-2019</t>
        </is>
      </c>
      <c r="B1601" s="1" t="n">
        <v>43686</v>
      </c>
      <c r="C1601" s="1" t="n">
        <v>45586</v>
      </c>
      <c r="D1601" t="inlineStr">
        <is>
          <t>VÄSTRA GÖTALANDS LÄN</t>
        </is>
      </c>
      <c r="E1601" t="inlineStr">
        <is>
          <t>SKÖVDE</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39623-2019</t>
        </is>
      </c>
      <c r="B1602" s="1" t="n">
        <v>43686</v>
      </c>
      <c r="C1602" s="1" t="n">
        <v>45586</v>
      </c>
      <c r="D1602" t="inlineStr">
        <is>
          <t>VÄSTRA GÖTALANDS LÄN</t>
        </is>
      </c>
      <c r="E1602" t="inlineStr">
        <is>
          <t>TIBRO</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39660-2019</t>
        </is>
      </c>
      <c r="B1603" s="1" t="n">
        <v>43686</v>
      </c>
      <c r="C1603" s="1" t="n">
        <v>45586</v>
      </c>
      <c r="D1603" t="inlineStr">
        <is>
          <t>VÄSTRA GÖTALANDS LÄN</t>
        </is>
      </c>
      <c r="E1603" t="inlineStr">
        <is>
          <t>VARA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38754-2019</t>
        </is>
      </c>
      <c r="B1604" s="1" t="n">
        <v>43686</v>
      </c>
      <c r="C1604" s="1" t="n">
        <v>45586</v>
      </c>
      <c r="D1604" t="inlineStr">
        <is>
          <t>VÄSTRA GÖTALANDS LÄN</t>
        </is>
      </c>
      <c r="E1604" t="inlineStr">
        <is>
          <t>FÄRGELANDA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38730-2019</t>
        </is>
      </c>
      <c r="B1605" s="1" t="n">
        <v>43686</v>
      </c>
      <c r="C1605" s="1" t="n">
        <v>45586</v>
      </c>
      <c r="D1605" t="inlineStr">
        <is>
          <t>VÄSTRA GÖTALANDS LÄN</t>
        </is>
      </c>
      <c r="E1605" t="inlineStr">
        <is>
          <t>ALINGSÅS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39041-2019</t>
        </is>
      </c>
      <c r="B1606" s="1" t="n">
        <v>43689</v>
      </c>
      <c r="C1606" s="1" t="n">
        <v>45586</v>
      </c>
      <c r="D1606" t="inlineStr">
        <is>
          <t>VÄSTRA GÖTALANDS LÄN</t>
        </is>
      </c>
      <c r="E1606" t="inlineStr">
        <is>
          <t>MARIESTAD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38947-2019</t>
        </is>
      </c>
      <c r="B1607" s="1" t="n">
        <v>43689</v>
      </c>
      <c r="C1607" s="1" t="n">
        <v>45586</v>
      </c>
      <c r="D1607" t="inlineStr">
        <is>
          <t>VÄSTRA GÖTALANDS LÄN</t>
        </is>
      </c>
      <c r="E1607" t="inlineStr">
        <is>
          <t>VÄNERSBORG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39062-2019</t>
        </is>
      </c>
      <c r="B1608" s="1" t="n">
        <v>43689</v>
      </c>
      <c r="C1608" s="1" t="n">
        <v>45586</v>
      </c>
      <c r="D1608" t="inlineStr">
        <is>
          <t>VÄSTRA GÖTALANDS LÄN</t>
        </is>
      </c>
      <c r="E1608" t="inlineStr">
        <is>
          <t>DALS-ED</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39695-2019</t>
        </is>
      </c>
      <c r="B1609" s="1" t="n">
        <v>43689</v>
      </c>
      <c r="C1609" s="1" t="n">
        <v>45586</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38965-2019</t>
        </is>
      </c>
      <c r="B1610" s="1" t="n">
        <v>43689</v>
      </c>
      <c r="C1610" s="1" t="n">
        <v>45586</v>
      </c>
      <c r="D1610" t="inlineStr">
        <is>
          <t>VÄSTRA GÖTALANDS LÄN</t>
        </is>
      </c>
      <c r="E1610" t="inlineStr">
        <is>
          <t>SKÖVDE</t>
        </is>
      </c>
      <c r="F1610" t="inlineStr">
        <is>
          <t>Kommuner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38999-2019</t>
        </is>
      </c>
      <c r="B1611" s="1" t="n">
        <v>43689</v>
      </c>
      <c r="C1611" s="1" t="n">
        <v>45586</v>
      </c>
      <c r="D1611" t="inlineStr">
        <is>
          <t>VÄSTRA GÖTALANDS LÄN</t>
        </is>
      </c>
      <c r="E1611" t="inlineStr">
        <is>
          <t>GÖTENE</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39688-2019</t>
        </is>
      </c>
      <c r="B1612" s="1" t="n">
        <v>43689</v>
      </c>
      <c r="C1612" s="1" t="n">
        <v>45586</v>
      </c>
      <c r="D1612" t="inlineStr">
        <is>
          <t>VÄSTRA GÖTALANDS LÄN</t>
        </is>
      </c>
      <c r="E1612" t="inlineStr">
        <is>
          <t>ULRICEHAMN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39197-2019</t>
        </is>
      </c>
      <c r="B1613" s="1" t="n">
        <v>43690</v>
      </c>
      <c r="C1613" s="1" t="n">
        <v>45586</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39289-2019</t>
        </is>
      </c>
      <c r="B1614" s="1" t="n">
        <v>43690</v>
      </c>
      <c r="C1614" s="1" t="n">
        <v>45586</v>
      </c>
      <c r="D1614" t="inlineStr">
        <is>
          <t>VÄSTRA GÖTALANDS LÄN</t>
        </is>
      </c>
      <c r="E1614" t="inlineStr">
        <is>
          <t>BENGTSFORS</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39254-2019</t>
        </is>
      </c>
      <c r="B1615" s="1" t="n">
        <v>43690</v>
      </c>
      <c r="C1615" s="1" t="n">
        <v>45586</v>
      </c>
      <c r="D1615" t="inlineStr">
        <is>
          <t>VÄSTRA GÖTALANDS LÄN</t>
        </is>
      </c>
      <c r="E1615" t="inlineStr">
        <is>
          <t>VÄNERSBORG</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39240-2019</t>
        </is>
      </c>
      <c r="B1616" s="1" t="n">
        <v>43690</v>
      </c>
      <c r="C1616" s="1" t="n">
        <v>45586</v>
      </c>
      <c r="D1616" t="inlineStr">
        <is>
          <t>VÄSTRA GÖTALANDS LÄN</t>
        </is>
      </c>
      <c r="E1616" t="inlineStr">
        <is>
          <t>ÅMÅL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39250-2019</t>
        </is>
      </c>
      <c r="B1617" s="1" t="n">
        <v>43690</v>
      </c>
      <c r="C1617" s="1" t="n">
        <v>45586</v>
      </c>
      <c r="D1617" t="inlineStr">
        <is>
          <t>VÄSTRA GÖTALANDS LÄN</t>
        </is>
      </c>
      <c r="E1617" t="inlineStr">
        <is>
          <t>LYSEKIL</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39338-2019</t>
        </is>
      </c>
      <c r="B1618" s="1" t="n">
        <v>43690</v>
      </c>
      <c r="C1618" s="1" t="n">
        <v>45586</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39363-2019</t>
        </is>
      </c>
      <c r="B1619" s="1" t="n">
        <v>43690</v>
      </c>
      <c r="C1619" s="1" t="n">
        <v>45586</v>
      </c>
      <c r="D1619" t="inlineStr">
        <is>
          <t>VÄSTRA GÖTALANDS LÄN</t>
        </is>
      </c>
      <c r="E1619" t="inlineStr">
        <is>
          <t>VARA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39252-2019</t>
        </is>
      </c>
      <c r="B1620" s="1" t="n">
        <v>43690</v>
      </c>
      <c r="C1620" s="1" t="n">
        <v>45586</v>
      </c>
      <c r="D1620" t="inlineStr">
        <is>
          <t>VÄSTRA GÖTALANDS LÄN</t>
        </is>
      </c>
      <c r="E1620" t="inlineStr">
        <is>
          <t>SKÖVDE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39385-2019</t>
        </is>
      </c>
      <c r="B1621" s="1" t="n">
        <v>43690</v>
      </c>
      <c r="C1621" s="1" t="n">
        <v>45586</v>
      </c>
      <c r="D1621" t="inlineStr">
        <is>
          <t>VÄSTRA GÖTALANDS LÄN</t>
        </is>
      </c>
      <c r="E1621" t="inlineStr">
        <is>
          <t>ULRICEHAMN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39534-2019</t>
        </is>
      </c>
      <c r="B1622" s="1" t="n">
        <v>43691</v>
      </c>
      <c r="C1622" s="1" t="n">
        <v>45586</v>
      </c>
      <c r="D1622" t="inlineStr">
        <is>
          <t>VÄSTRA GÖTALANDS LÄN</t>
        </is>
      </c>
      <c r="E1622" t="inlineStr">
        <is>
          <t>VARA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39542-2019</t>
        </is>
      </c>
      <c r="B1623" s="1" t="n">
        <v>43691</v>
      </c>
      <c r="C1623" s="1" t="n">
        <v>45586</v>
      </c>
      <c r="D1623" t="inlineStr">
        <is>
          <t>VÄSTRA GÖTALANDS LÄN</t>
        </is>
      </c>
      <c r="E1623" t="inlineStr">
        <is>
          <t>LILLA EDET</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39608-2019</t>
        </is>
      </c>
      <c r="B1624" s="1" t="n">
        <v>43691</v>
      </c>
      <c r="C1624" s="1" t="n">
        <v>45586</v>
      </c>
      <c r="D1624" t="inlineStr">
        <is>
          <t>VÄSTRA GÖTALANDS LÄN</t>
        </is>
      </c>
      <c r="E1624" t="inlineStr">
        <is>
          <t>FÄRGELANDA</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39620-2019</t>
        </is>
      </c>
      <c r="B1625" s="1" t="n">
        <v>43691</v>
      </c>
      <c r="C1625" s="1" t="n">
        <v>45586</v>
      </c>
      <c r="D1625" t="inlineStr">
        <is>
          <t>VÄSTRA GÖTALANDS LÄN</t>
        </is>
      </c>
      <c r="E1625" t="inlineStr">
        <is>
          <t>GULLSPÅNG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39639-2019</t>
        </is>
      </c>
      <c r="B1626" s="1" t="n">
        <v>43691</v>
      </c>
      <c r="C1626" s="1" t="n">
        <v>45586</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39644-2019</t>
        </is>
      </c>
      <c r="B1627" s="1" t="n">
        <v>43691</v>
      </c>
      <c r="C1627" s="1" t="n">
        <v>45586</v>
      </c>
      <c r="D1627" t="inlineStr">
        <is>
          <t>VÄSTRA GÖTALANDS LÄN</t>
        </is>
      </c>
      <c r="E1627" t="inlineStr">
        <is>
          <t>BENGTSFORS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39631-2019</t>
        </is>
      </c>
      <c r="B1628" s="1" t="n">
        <v>43691</v>
      </c>
      <c r="C1628" s="1" t="n">
        <v>45586</v>
      </c>
      <c r="D1628" t="inlineStr">
        <is>
          <t>VÄSTRA GÖTALANDS LÄN</t>
        </is>
      </c>
      <c r="E1628" t="inlineStr">
        <is>
          <t>GULLSPÅNG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39626-2019</t>
        </is>
      </c>
      <c r="B1629" s="1" t="n">
        <v>43691</v>
      </c>
      <c r="C1629" s="1" t="n">
        <v>45586</v>
      </c>
      <c r="D1629" t="inlineStr">
        <is>
          <t>VÄSTRA GÖTALANDS LÄN</t>
        </is>
      </c>
      <c r="E1629" t="inlineStr">
        <is>
          <t>GULLSPÅNG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39636-2019</t>
        </is>
      </c>
      <c r="B1630" s="1" t="n">
        <v>43691</v>
      </c>
      <c r="C1630" s="1" t="n">
        <v>45586</v>
      </c>
      <c r="D1630" t="inlineStr">
        <is>
          <t>VÄSTRA GÖTALANDS LÄN</t>
        </is>
      </c>
      <c r="E1630" t="inlineStr">
        <is>
          <t>GULLSPÅNG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39586-2019</t>
        </is>
      </c>
      <c r="B1631" s="1" t="n">
        <v>43691</v>
      </c>
      <c r="C1631" s="1" t="n">
        <v>45586</v>
      </c>
      <c r="D1631" t="inlineStr">
        <is>
          <t>VÄSTRA GÖTALANDS LÄN</t>
        </is>
      </c>
      <c r="E1631" t="inlineStr">
        <is>
          <t>MARK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41124-2019</t>
        </is>
      </c>
      <c r="B1632" s="1" t="n">
        <v>43691</v>
      </c>
      <c r="C1632" s="1" t="n">
        <v>45586</v>
      </c>
      <c r="D1632" t="inlineStr">
        <is>
          <t>VÄSTRA GÖTALANDS LÄN</t>
        </is>
      </c>
      <c r="E1632" t="inlineStr">
        <is>
          <t>ESSUNGA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39791-2019</t>
        </is>
      </c>
      <c r="B1633" s="1" t="n">
        <v>43692</v>
      </c>
      <c r="C1633" s="1" t="n">
        <v>45586</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39845-2019</t>
        </is>
      </c>
      <c r="B1634" s="1" t="n">
        <v>43692</v>
      </c>
      <c r="C1634" s="1" t="n">
        <v>45586</v>
      </c>
      <c r="D1634" t="inlineStr">
        <is>
          <t>VÄSTRA GÖTALANDS LÄN</t>
        </is>
      </c>
      <c r="E1634" t="inlineStr">
        <is>
          <t>BORÅS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39934-2019</t>
        </is>
      </c>
      <c r="B1635" s="1" t="n">
        <v>43692</v>
      </c>
      <c r="C1635" s="1" t="n">
        <v>45586</v>
      </c>
      <c r="D1635" t="inlineStr">
        <is>
          <t>VÄSTRA GÖTALANDS LÄN</t>
        </is>
      </c>
      <c r="E1635" t="inlineStr">
        <is>
          <t>ULRICEHAMN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39975-2019</t>
        </is>
      </c>
      <c r="B1636" s="1" t="n">
        <v>43692</v>
      </c>
      <c r="C1636" s="1" t="n">
        <v>45586</v>
      </c>
      <c r="D1636" t="inlineStr">
        <is>
          <t>VÄSTRA GÖTALANDS LÄN</t>
        </is>
      </c>
      <c r="E1636" t="inlineStr">
        <is>
          <t>KARLSBORG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40043-2019</t>
        </is>
      </c>
      <c r="B1637" s="1" t="n">
        <v>43693</v>
      </c>
      <c r="C1637" s="1" t="n">
        <v>45586</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40106-2019</t>
        </is>
      </c>
      <c r="B1638" s="1" t="n">
        <v>43693</v>
      </c>
      <c r="C1638" s="1" t="n">
        <v>45586</v>
      </c>
      <c r="D1638" t="inlineStr">
        <is>
          <t>VÄSTRA GÖTALANDS LÄN</t>
        </is>
      </c>
      <c r="E1638" t="inlineStr">
        <is>
          <t>TROLLHÄTTAN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40141-2019</t>
        </is>
      </c>
      <c r="B1639" s="1" t="n">
        <v>43693</v>
      </c>
      <c r="C1639" s="1" t="n">
        <v>45586</v>
      </c>
      <c r="D1639" t="inlineStr">
        <is>
          <t>VÄSTRA GÖTALANDS LÄN</t>
        </is>
      </c>
      <c r="E1639" t="inlineStr">
        <is>
          <t>GULLSPÅNG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40048-2019</t>
        </is>
      </c>
      <c r="B1640" s="1" t="n">
        <v>43693</v>
      </c>
      <c r="C1640" s="1" t="n">
        <v>45586</v>
      </c>
      <c r="D1640" t="inlineStr">
        <is>
          <t>VÄSTRA GÖTALANDS LÄN</t>
        </is>
      </c>
      <c r="E1640" t="inlineStr">
        <is>
          <t>BENGTSFORS</t>
        </is>
      </c>
      <c r="G1640" t="n">
        <v>15.6</v>
      </c>
      <c r="H1640" t="n">
        <v>0</v>
      </c>
      <c r="I1640" t="n">
        <v>0</v>
      </c>
      <c r="J1640" t="n">
        <v>0</v>
      </c>
      <c r="K1640" t="n">
        <v>0</v>
      </c>
      <c r="L1640" t="n">
        <v>0</v>
      </c>
      <c r="M1640" t="n">
        <v>0</v>
      </c>
      <c r="N1640" t="n">
        <v>0</v>
      </c>
      <c r="O1640" t="n">
        <v>0</v>
      </c>
      <c r="P1640" t="n">
        <v>0</v>
      </c>
      <c r="Q1640" t="n">
        <v>0</v>
      </c>
      <c r="R1640" s="2" t="inlineStr"/>
    </row>
    <row r="1641" ht="15" customHeight="1">
      <c r="A1641" t="inlineStr">
        <is>
          <t>A 40814-2019</t>
        </is>
      </c>
      <c r="B1641" s="1" t="n">
        <v>43693</v>
      </c>
      <c r="C1641" s="1" t="n">
        <v>45586</v>
      </c>
      <c r="D1641" t="inlineStr">
        <is>
          <t>VÄSTRA GÖTALANDS LÄN</t>
        </is>
      </c>
      <c r="E1641" t="inlineStr">
        <is>
          <t>GULLSPÅNG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40110-2019</t>
        </is>
      </c>
      <c r="B1642" s="1" t="n">
        <v>43693</v>
      </c>
      <c r="C1642" s="1" t="n">
        <v>45586</v>
      </c>
      <c r="D1642" t="inlineStr">
        <is>
          <t>VÄSTRA GÖTALANDS LÄN</t>
        </is>
      </c>
      <c r="E1642" t="inlineStr">
        <is>
          <t>BOLLEBYGD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40145-2019</t>
        </is>
      </c>
      <c r="B1643" s="1" t="n">
        <v>43693</v>
      </c>
      <c r="C1643" s="1" t="n">
        <v>45586</v>
      </c>
      <c r="D1643" t="inlineStr">
        <is>
          <t>VÄSTRA GÖTALANDS LÄN</t>
        </is>
      </c>
      <c r="E1643" t="inlineStr">
        <is>
          <t>GULLSPÅNG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40225-2019</t>
        </is>
      </c>
      <c r="B1644" s="1" t="n">
        <v>43693</v>
      </c>
      <c r="C1644" s="1" t="n">
        <v>45586</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40168-2019</t>
        </is>
      </c>
      <c r="B1645" s="1" t="n">
        <v>43693</v>
      </c>
      <c r="C1645" s="1" t="n">
        <v>45586</v>
      </c>
      <c r="D1645" t="inlineStr">
        <is>
          <t>VÄSTRA GÖTALANDS LÄN</t>
        </is>
      </c>
      <c r="E1645" t="inlineStr">
        <is>
          <t>VÅRGÅRDA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40224-2019</t>
        </is>
      </c>
      <c r="B1646" s="1" t="n">
        <v>43693</v>
      </c>
      <c r="C1646" s="1" t="n">
        <v>45586</v>
      </c>
      <c r="D1646" t="inlineStr">
        <is>
          <t>VÄSTRA GÖTALANDS LÄN</t>
        </is>
      </c>
      <c r="E1646" t="inlineStr">
        <is>
          <t>TIDAHOLM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40243-2019</t>
        </is>
      </c>
      <c r="B1647" s="1" t="n">
        <v>43694</v>
      </c>
      <c r="C1647" s="1" t="n">
        <v>45586</v>
      </c>
      <c r="D1647" t="inlineStr">
        <is>
          <t>VÄSTRA GÖTALANDS LÄN</t>
        </is>
      </c>
      <c r="E1647" t="inlineStr">
        <is>
          <t>BENGTSFORS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40242-2019</t>
        </is>
      </c>
      <c r="B1648" s="1" t="n">
        <v>43694</v>
      </c>
      <c r="C1648" s="1" t="n">
        <v>45586</v>
      </c>
      <c r="D1648" t="inlineStr">
        <is>
          <t>VÄSTRA GÖTALANDS LÄN</t>
        </is>
      </c>
      <c r="E1648" t="inlineStr">
        <is>
          <t>BENGTSFORS</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40388-2019</t>
        </is>
      </c>
      <c r="B1649" s="1" t="n">
        <v>43696</v>
      </c>
      <c r="C1649" s="1" t="n">
        <v>45586</v>
      </c>
      <c r="D1649" t="inlineStr">
        <is>
          <t>VÄSTRA GÖTALANDS LÄN</t>
        </is>
      </c>
      <c r="E1649" t="inlineStr">
        <is>
          <t>ALINGSÅS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40456-2019</t>
        </is>
      </c>
      <c r="B1650" s="1" t="n">
        <v>43696</v>
      </c>
      <c r="C1650" s="1" t="n">
        <v>45586</v>
      </c>
      <c r="D1650" t="inlineStr">
        <is>
          <t>VÄSTRA GÖTALANDS LÄN</t>
        </is>
      </c>
      <c r="E1650" t="inlineStr">
        <is>
          <t>BORÅS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40566-2019</t>
        </is>
      </c>
      <c r="B1651" s="1" t="n">
        <v>43696</v>
      </c>
      <c r="C1651" s="1" t="n">
        <v>45586</v>
      </c>
      <c r="D1651" t="inlineStr">
        <is>
          <t>VÄSTRA GÖTALANDS LÄN</t>
        </is>
      </c>
      <c r="E1651" t="inlineStr">
        <is>
          <t>LERUM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40602-2019</t>
        </is>
      </c>
      <c r="B1652" s="1" t="n">
        <v>43696</v>
      </c>
      <c r="C1652" s="1" t="n">
        <v>45586</v>
      </c>
      <c r="D1652" t="inlineStr">
        <is>
          <t>VÄSTRA GÖTALANDS LÄN</t>
        </is>
      </c>
      <c r="E1652" t="inlineStr">
        <is>
          <t>HERRLJUNGA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40575-2019</t>
        </is>
      </c>
      <c r="B1653" s="1" t="n">
        <v>43696</v>
      </c>
      <c r="C1653" s="1" t="n">
        <v>45586</v>
      </c>
      <c r="D1653" t="inlineStr">
        <is>
          <t>VÄSTRA GÖTALANDS LÄN</t>
        </is>
      </c>
      <c r="E1653" t="inlineStr">
        <is>
          <t>LERUM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40587-2019</t>
        </is>
      </c>
      <c r="B1654" s="1" t="n">
        <v>43696</v>
      </c>
      <c r="C1654" s="1" t="n">
        <v>45586</v>
      </c>
      <c r="D1654" t="inlineStr">
        <is>
          <t>VÄSTRA GÖTALANDS LÄN</t>
        </is>
      </c>
      <c r="E1654" t="inlineStr">
        <is>
          <t>TANUM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40599-2019</t>
        </is>
      </c>
      <c r="B1655" s="1" t="n">
        <v>43696</v>
      </c>
      <c r="C1655" s="1" t="n">
        <v>45586</v>
      </c>
      <c r="D1655" t="inlineStr">
        <is>
          <t>VÄSTRA GÖTALANDS LÄN</t>
        </is>
      </c>
      <c r="E1655" t="inlineStr">
        <is>
          <t>MUNKEDAL</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40395-2019</t>
        </is>
      </c>
      <c r="B1656" s="1" t="n">
        <v>43696</v>
      </c>
      <c r="C1656" s="1" t="n">
        <v>45586</v>
      </c>
      <c r="D1656" t="inlineStr">
        <is>
          <t>VÄSTRA GÖTALANDS LÄN</t>
        </is>
      </c>
      <c r="E1656" t="inlineStr">
        <is>
          <t>FALKÖPING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41634-2019</t>
        </is>
      </c>
      <c r="B1657" s="1" t="n">
        <v>43696</v>
      </c>
      <c r="C1657" s="1" t="n">
        <v>45586</v>
      </c>
      <c r="D1657" t="inlineStr">
        <is>
          <t>VÄSTRA GÖTALANDS LÄN</t>
        </is>
      </c>
      <c r="E1657" t="inlineStr">
        <is>
          <t>UDDEVALLA</t>
        </is>
      </c>
      <c r="F1657" t="inlineStr">
        <is>
          <t>Kyrkan</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40654-2019</t>
        </is>
      </c>
      <c r="B1658" s="1" t="n">
        <v>43696</v>
      </c>
      <c r="C1658" s="1" t="n">
        <v>45586</v>
      </c>
      <c r="D1658" t="inlineStr">
        <is>
          <t>VÄSTRA GÖTALANDS LÄN</t>
        </is>
      </c>
      <c r="E1658" t="inlineStr">
        <is>
          <t>BENGTSFORS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41500-2019</t>
        </is>
      </c>
      <c r="B1659" s="1" t="n">
        <v>43696</v>
      </c>
      <c r="C1659" s="1" t="n">
        <v>45586</v>
      </c>
      <c r="D1659" t="inlineStr">
        <is>
          <t>VÄSTRA GÖTALANDS LÄN</t>
        </is>
      </c>
      <c r="E1659" t="inlineStr">
        <is>
          <t>VARA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40939-2019</t>
        </is>
      </c>
      <c r="B1660" s="1" t="n">
        <v>43697</v>
      </c>
      <c r="C1660" s="1" t="n">
        <v>45586</v>
      </c>
      <c r="D1660" t="inlineStr">
        <is>
          <t>VÄSTRA GÖTALANDS LÄN</t>
        </is>
      </c>
      <c r="E1660" t="inlineStr">
        <is>
          <t>HERRLJUNGA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40987-2019</t>
        </is>
      </c>
      <c r="B1661" s="1" t="n">
        <v>43697</v>
      </c>
      <c r="C1661" s="1" t="n">
        <v>45586</v>
      </c>
      <c r="D1661" t="inlineStr">
        <is>
          <t>VÄSTRA GÖTALANDS LÄN</t>
        </is>
      </c>
      <c r="E1661" t="inlineStr">
        <is>
          <t>UDDEVALLA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40783-2019</t>
        </is>
      </c>
      <c r="B1662" s="1" t="n">
        <v>43697</v>
      </c>
      <c r="C1662" s="1" t="n">
        <v>45586</v>
      </c>
      <c r="D1662" t="inlineStr">
        <is>
          <t>VÄSTRA GÖTALANDS LÄN</t>
        </is>
      </c>
      <c r="E1662" t="inlineStr">
        <is>
          <t>TÖREBODA</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40885-2019</t>
        </is>
      </c>
      <c r="B1663" s="1" t="n">
        <v>43697</v>
      </c>
      <c r="C1663" s="1" t="n">
        <v>45586</v>
      </c>
      <c r="D1663" t="inlineStr">
        <is>
          <t>VÄSTRA GÖTALANDS LÄN</t>
        </is>
      </c>
      <c r="E1663" t="inlineStr">
        <is>
          <t>SVENLJUNGA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40971-2019</t>
        </is>
      </c>
      <c r="B1664" s="1" t="n">
        <v>43697</v>
      </c>
      <c r="C1664" s="1" t="n">
        <v>45586</v>
      </c>
      <c r="D1664" t="inlineStr">
        <is>
          <t>VÄSTRA GÖTALANDS LÄN</t>
        </is>
      </c>
      <c r="E1664" t="inlineStr">
        <is>
          <t>LYSEKIL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40972-2019</t>
        </is>
      </c>
      <c r="B1665" s="1" t="n">
        <v>43697</v>
      </c>
      <c r="C1665" s="1" t="n">
        <v>45586</v>
      </c>
      <c r="D1665" t="inlineStr">
        <is>
          <t>VÄSTRA GÖTALANDS LÄN</t>
        </is>
      </c>
      <c r="E1665" t="inlineStr">
        <is>
          <t>BENGTSFORS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40983-2019</t>
        </is>
      </c>
      <c r="B1666" s="1" t="n">
        <v>43697</v>
      </c>
      <c r="C1666" s="1" t="n">
        <v>45586</v>
      </c>
      <c r="D1666" t="inlineStr">
        <is>
          <t>VÄSTRA GÖTALANDS LÄN</t>
        </is>
      </c>
      <c r="E1666" t="inlineStr">
        <is>
          <t>LYSEKIL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41000-2019</t>
        </is>
      </c>
      <c r="B1667" s="1" t="n">
        <v>43697</v>
      </c>
      <c r="C1667" s="1" t="n">
        <v>45586</v>
      </c>
      <c r="D1667" t="inlineStr">
        <is>
          <t>VÄSTRA GÖTALANDS LÄN</t>
        </is>
      </c>
      <c r="E1667" t="inlineStr">
        <is>
          <t>MELLERUD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40957-2019</t>
        </is>
      </c>
      <c r="B1668" s="1" t="n">
        <v>43697</v>
      </c>
      <c r="C1668" s="1" t="n">
        <v>45586</v>
      </c>
      <c r="D1668" t="inlineStr">
        <is>
          <t>VÄSTRA GÖTALANDS LÄN</t>
        </is>
      </c>
      <c r="E1668" t="inlineStr">
        <is>
          <t>TRANEMO</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40974-2019</t>
        </is>
      </c>
      <c r="B1669" s="1" t="n">
        <v>43697</v>
      </c>
      <c r="C1669" s="1" t="n">
        <v>45586</v>
      </c>
      <c r="D1669" t="inlineStr">
        <is>
          <t>VÄSTRA GÖTALANDS LÄN</t>
        </is>
      </c>
      <c r="E1669" t="inlineStr">
        <is>
          <t>BENGTSFORS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40951-2019</t>
        </is>
      </c>
      <c r="B1670" s="1" t="n">
        <v>43697</v>
      </c>
      <c r="C1670" s="1" t="n">
        <v>45586</v>
      </c>
      <c r="D1670" t="inlineStr">
        <is>
          <t>VÄSTRA GÖTALANDS LÄN</t>
        </is>
      </c>
      <c r="E1670" t="inlineStr">
        <is>
          <t>GRÄSTORP</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40754-2019</t>
        </is>
      </c>
      <c r="B1671" s="1" t="n">
        <v>43697</v>
      </c>
      <c r="C1671" s="1" t="n">
        <v>45586</v>
      </c>
      <c r="D1671" t="inlineStr">
        <is>
          <t>VÄSTRA GÖTALANDS LÄN</t>
        </is>
      </c>
      <c r="E1671" t="inlineStr">
        <is>
          <t>SKARA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40852-2019</t>
        </is>
      </c>
      <c r="B1672" s="1" t="n">
        <v>43697</v>
      </c>
      <c r="C1672" s="1" t="n">
        <v>45586</v>
      </c>
      <c r="D1672" t="inlineStr">
        <is>
          <t>VÄSTRA GÖTALANDS LÄN</t>
        </is>
      </c>
      <c r="E1672" t="inlineStr">
        <is>
          <t>SKARA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41113-2019</t>
        </is>
      </c>
      <c r="B1673" s="1" t="n">
        <v>43698</v>
      </c>
      <c r="C1673" s="1" t="n">
        <v>45586</v>
      </c>
      <c r="D1673" t="inlineStr">
        <is>
          <t>VÄSTRA GÖTALANDS LÄN</t>
        </is>
      </c>
      <c r="E1673" t="inlineStr">
        <is>
          <t>ALINGSÅS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41188-2019</t>
        </is>
      </c>
      <c r="B1674" s="1" t="n">
        <v>43698</v>
      </c>
      <c r="C1674" s="1" t="n">
        <v>45586</v>
      </c>
      <c r="D1674" t="inlineStr">
        <is>
          <t>VÄSTRA GÖTALANDS LÄN</t>
        </is>
      </c>
      <c r="E1674" t="inlineStr">
        <is>
          <t>TIBRO</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41257-2019</t>
        </is>
      </c>
      <c r="B1675" s="1" t="n">
        <v>43698</v>
      </c>
      <c r="C1675" s="1" t="n">
        <v>45586</v>
      </c>
      <c r="D1675" t="inlineStr">
        <is>
          <t>VÄSTRA GÖTALANDS LÄN</t>
        </is>
      </c>
      <c r="E1675" t="inlineStr">
        <is>
          <t>BENGTSFORS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41256-2019</t>
        </is>
      </c>
      <c r="B1676" s="1" t="n">
        <v>43698</v>
      </c>
      <c r="C1676" s="1" t="n">
        <v>45586</v>
      </c>
      <c r="D1676" t="inlineStr">
        <is>
          <t>VÄSTRA GÖTALANDS LÄN</t>
        </is>
      </c>
      <c r="E1676" t="inlineStr">
        <is>
          <t>BENGTSFORS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41394-2019</t>
        </is>
      </c>
      <c r="B1677" s="1" t="n">
        <v>43698</v>
      </c>
      <c r="C1677" s="1" t="n">
        <v>45586</v>
      </c>
      <c r="D1677" t="inlineStr">
        <is>
          <t>VÄSTRA GÖTALANDS LÄN</t>
        </is>
      </c>
      <c r="E1677" t="inlineStr">
        <is>
          <t>HERRLJUNGA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41406-2019</t>
        </is>
      </c>
      <c r="B1678" s="1" t="n">
        <v>43698</v>
      </c>
      <c r="C1678" s="1" t="n">
        <v>45586</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41252-2019</t>
        </is>
      </c>
      <c r="B1679" s="1" t="n">
        <v>43698</v>
      </c>
      <c r="C1679" s="1" t="n">
        <v>45586</v>
      </c>
      <c r="D1679" t="inlineStr">
        <is>
          <t>VÄSTRA GÖTALANDS LÄN</t>
        </is>
      </c>
      <c r="E1679" t="inlineStr">
        <is>
          <t>BENGTSFORS</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57784-2019</t>
        </is>
      </c>
      <c r="B1680" s="1" t="n">
        <v>43698</v>
      </c>
      <c r="C1680" s="1" t="n">
        <v>45586</v>
      </c>
      <c r="D1680" t="inlineStr">
        <is>
          <t>VÄSTRA GÖTALANDS LÄN</t>
        </is>
      </c>
      <c r="E1680" t="inlineStr">
        <is>
          <t>HERRLJUNGA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42213-2019</t>
        </is>
      </c>
      <c r="B1681" s="1" t="n">
        <v>43698</v>
      </c>
      <c r="C1681" s="1" t="n">
        <v>45586</v>
      </c>
      <c r="D1681" t="inlineStr">
        <is>
          <t>VÄSTRA GÖTALANDS LÄN</t>
        </is>
      </c>
      <c r="E1681" t="inlineStr">
        <is>
          <t>DALS-ED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41404-2019</t>
        </is>
      </c>
      <c r="B1682" s="1" t="n">
        <v>43698</v>
      </c>
      <c r="C1682" s="1" t="n">
        <v>45586</v>
      </c>
      <c r="D1682" t="inlineStr">
        <is>
          <t>VÄSTRA GÖTALANDS LÄN</t>
        </is>
      </c>
      <c r="E1682" t="inlineStr">
        <is>
          <t>TRANEMO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41255-2019</t>
        </is>
      </c>
      <c r="B1683" s="1" t="n">
        <v>43698</v>
      </c>
      <c r="C1683" s="1" t="n">
        <v>45586</v>
      </c>
      <c r="D1683" t="inlineStr">
        <is>
          <t>VÄSTRA GÖTALANDS LÄN</t>
        </is>
      </c>
      <c r="E1683" t="inlineStr">
        <is>
          <t>BENGTSFORS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41186-2019</t>
        </is>
      </c>
      <c r="B1684" s="1" t="n">
        <v>43698</v>
      </c>
      <c r="C1684" s="1" t="n">
        <v>45586</v>
      </c>
      <c r="D1684" t="inlineStr">
        <is>
          <t>VÄSTRA GÖTALANDS LÄN</t>
        </is>
      </c>
      <c r="E1684" t="inlineStr">
        <is>
          <t>GÖTENE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41689-2019</t>
        </is>
      </c>
      <c r="B1685" s="1" t="n">
        <v>43699</v>
      </c>
      <c r="C1685" s="1" t="n">
        <v>45586</v>
      </c>
      <c r="D1685" t="inlineStr">
        <is>
          <t>VÄSTRA GÖTALANDS LÄN</t>
        </is>
      </c>
      <c r="E1685" t="inlineStr">
        <is>
          <t>SKARA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41735-2019</t>
        </is>
      </c>
      <c r="B1686" s="1" t="n">
        <v>43699</v>
      </c>
      <c r="C1686" s="1" t="n">
        <v>45586</v>
      </c>
      <c r="D1686" t="inlineStr">
        <is>
          <t>VÄSTRA GÖTALANDS LÄN</t>
        </is>
      </c>
      <c r="E1686" t="inlineStr">
        <is>
          <t>FALKÖPING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41692-2019</t>
        </is>
      </c>
      <c r="B1687" s="1" t="n">
        <v>43699</v>
      </c>
      <c r="C1687" s="1" t="n">
        <v>45586</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41770-2019</t>
        </is>
      </c>
      <c r="B1688" s="1" t="n">
        <v>43700</v>
      </c>
      <c r="C1688" s="1" t="n">
        <v>45586</v>
      </c>
      <c r="D1688" t="inlineStr">
        <is>
          <t>VÄSTRA GÖTALANDS LÄN</t>
        </is>
      </c>
      <c r="E1688" t="inlineStr">
        <is>
          <t>BENGTSFORS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41549-2019</t>
        </is>
      </c>
      <c r="B1689" s="1" t="n">
        <v>43699</v>
      </c>
      <c r="C1689" s="1" t="n">
        <v>45586</v>
      </c>
      <c r="D1689" t="inlineStr">
        <is>
          <t>VÄSTRA GÖTALANDS LÄN</t>
        </is>
      </c>
      <c r="E1689" t="inlineStr">
        <is>
          <t>SVENLJUNGA</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41607-2019</t>
        </is>
      </c>
      <c r="B1690" s="1" t="n">
        <v>43699</v>
      </c>
      <c r="C1690" s="1" t="n">
        <v>45586</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42259-2019</t>
        </is>
      </c>
      <c r="B1691" s="1" t="n">
        <v>43699</v>
      </c>
      <c r="C1691" s="1" t="n">
        <v>45586</v>
      </c>
      <c r="D1691" t="inlineStr">
        <is>
          <t>VÄSTRA GÖTALANDS LÄN</t>
        </is>
      </c>
      <c r="E1691" t="inlineStr">
        <is>
          <t>BORÅS</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41565-2019</t>
        </is>
      </c>
      <c r="B1692" s="1" t="n">
        <v>43699</v>
      </c>
      <c r="C1692" s="1" t="n">
        <v>45586</v>
      </c>
      <c r="D1692" t="inlineStr">
        <is>
          <t>VÄSTRA GÖTALANDS LÄN</t>
        </is>
      </c>
      <c r="E1692" t="inlineStr">
        <is>
          <t>HERRLJUNGA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42706-2019</t>
        </is>
      </c>
      <c r="B1693" s="1" t="n">
        <v>43699</v>
      </c>
      <c r="C1693" s="1" t="n">
        <v>45586</v>
      </c>
      <c r="D1693" t="inlineStr">
        <is>
          <t>VÄSTRA GÖTALANDS LÄN</t>
        </is>
      </c>
      <c r="E1693" t="inlineStr">
        <is>
          <t>FALKÖPING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44978-2019</t>
        </is>
      </c>
      <c r="B1694" s="1" t="n">
        <v>43699</v>
      </c>
      <c r="C1694" s="1" t="n">
        <v>45586</v>
      </c>
      <c r="D1694" t="inlineStr">
        <is>
          <t>VÄSTRA GÖTALANDS LÄN</t>
        </is>
      </c>
      <c r="E1694" t="inlineStr">
        <is>
          <t>TRANEMO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42509-2019</t>
        </is>
      </c>
      <c r="B1695" s="1" t="n">
        <v>43699</v>
      </c>
      <c r="C1695" s="1" t="n">
        <v>45586</v>
      </c>
      <c r="D1695" t="inlineStr">
        <is>
          <t>VÄSTRA GÖTALANDS LÄN</t>
        </is>
      </c>
      <c r="E1695" t="inlineStr">
        <is>
          <t>VÄNERSBORG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41736-2019</t>
        </is>
      </c>
      <c r="B1696" s="1" t="n">
        <v>43699</v>
      </c>
      <c r="C1696" s="1" t="n">
        <v>45586</v>
      </c>
      <c r="D1696" t="inlineStr">
        <is>
          <t>VÄSTRA GÖTALANDS LÄN</t>
        </is>
      </c>
      <c r="E1696" t="inlineStr">
        <is>
          <t>FALKÖPING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42515-2019</t>
        </is>
      </c>
      <c r="B1697" s="1" t="n">
        <v>43699</v>
      </c>
      <c r="C1697" s="1" t="n">
        <v>45586</v>
      </c>
      <c r="D1697" t="inlineStr">
        <is>
          <t>VÄSTRA GÖTALANDS LÄN</t>
        </is>
      </c>
      <c r="E1697" t="inlineStr">
        <is>
          <t>VÄNERSBORG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41723-2019</t>
        </is>
      </c>
      <c r="B1698" s="1" t="n">
        <v>43699</v>
      </c>
      <c r="C1698" s="1" t="n">
        <v>45586</v>
      </c>
      <c r="D1698" t="inlineStr">
        <is>
          <t>VÄSTRA GÖTALANDS LÄN</t>
        </is>
      </c>
      <c r="E1698" t="inlineStr">
        <is>
          <t>ALINGSÅS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41560-2019</t>
        </is>
      </c>
      <c r="B1699" s="1" t="n">
        <v>43699</v>
      </c>
      <c r="C1699" s="1" t="n">
        <v>45586</v>
      </c>
      <c r="D1699" t="inlineStr">
        <is>
          <t>VÄSTRA GÖTALANDS LÄN</t>
        </is>
      </c>
      <c r="E1699" t="inlineStr">
        <is>
          <t>HERRLJUNGA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41948-2019</t>
        </is>
      </c>
      <c r="B1700" s="1" t="n">
        <v>43700</v>
      </c>
      <c r="C1700" s="1" t="n">
        <v>45586</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41966-2019</t>
        </is>
      </c>
      <c r="B1701" s="1" t="n">
        <v>43700</v>
      </c>
      <c r="C1701" s="1" t="n">
        <v>45586</v>
      </c>
      <c r="D1701" t="inlineStr">
        <is>
          <t>VÄSTRA GÖTALANDS LÄN</t>
        </is>
      </c>
      <c r="E1701" t="inlineStr">
        <is>
          <t>UDDEVALLA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42999-2019</t>
        </is>
      </c>
      <c r="B1702" s="1" t="n">
        <v>43700</v>
      </c>
      <c r="C1702" s="1" t="n">
        <v>45586</v>
      </c>
      <c r="D1702" t="inlineStr">
        <is>
          <t>VÄSTRA GÖTALANDS LÄN</t>
        </is>
      </c>
      <c r="E1702" t="inlineStr">
        <is>
          <t>ULRICEHAMN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43104-2019</t>
        </is>
      </c>
      <c r="B1703" s="1" t="n">
        <v>43700</v>
      </c>
      <c r="C1703" s="1" t="n">
        <v>45586</v>
      </c>
      <c r="D1703" t="inlineStr">
        <is>
          <t>VÄSTRA GÖTALANDS LÄN</t>
        </is>
      </c>
      <c r="E1703" t="inlineStr">
        <is>
          <t>VARA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43016-2019</t>
        </is>
      </c>
      <c r="B1704" s="1" t="n">
        <v>43700</v>
      </c>
      <c r="C1704" s="1" t="n">
        <v>45586</v>
      </c>
      <c r="D1704" t="inlineStr">
        <is>
          <t>VÄSTRA GÖTALANDS LÄN</t>
        </is>
      </c>
      <c r="E1704" t="inlineStr">
        <is>
          <t>FALKÖPING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41837-2019</t>
        </is>
      </c>
      <c r="B1705" s="1" t="n">
        <v>43700</v>
      </c>
      <c r="C1705" s="1" t="n">
        <v>45586</v>
      </c>
      <c r="D1705" t="inlineStr">
        <is>
          <t>VÄSTRA GÖTALANDS LÄN</t>
        </is>
      </c>
      <c r="E1705" t="inlineStr">
        <is>
          <t>FALKÖPING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43087-2019</t>
        </is>
      </c>
      <c r="B1706" s="1" t="n">
        <v>43700</v>
      </c>
      <c r="C1706" s="1" t="n">
        <v>45586</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43011-2019</t>
        </is>
      </c>
      <c r="B1707" s="1" t="n">
        <v>43700</v>
      </c>
      <c r="C1707" s="1" t="n">
        <v>45586</v>
      </c>
      <c r="D1707" t="inlineStr">
        <is>
          <t>VÄSTRA GÖTALANDS LÄN</t>
        </is>
      </c>
      <c r="E1707" t="inlineStr">
        <is>
          <t>FALKÖPING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43030-2019</t>
        </is>
      </c>
      <c r="B1708" s="1" t="n">
        <v>43700</v>
      </c>
      <c r="C1708" s="1" t="n">
        <v>45586</v>
      </c>
      <c r="D1708" t="inlineStr">
        <is>
          <t>VÄSTRA GÖTALANDS LÄN</t>
        </is>
      </c>
      <c r="E1708" t="inlineStr">
        <is>
          <t>ULRICEHAMN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43129-2019</t>
        </is>
      </c>
      <c r="B1709" s="1" t="n">
        <v>43700</v>
      </c>
      <c r="C1709" s="1" t="n">
        <v>45586</v>
      </c>
      <c r="D1709" t="inlineStr">
        <is>
          <t>VÄSTRA GÖTALANDS LÄN</t>
        </is>
      </c>
      <c r="E1709" t="inlineStr">
        <is>
          <t>FALKÖPING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43024-2019</t>
        </is>
      </c>
      <c r="B1710" s="1" t="n">
        <v>43700</v>
      </c>
      <c r="C1710" s="1" t="n">
        <v>45586</v>
      </c>
      <c r="D1710" t="inlineStr">
        <is>
          <t>VÄSTRA GÖTALANDS LÄN</t>
        </is>
      </c>
      <c r="E1710" t="inlineStr">
        <is>
          <t>FALKÖPING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43113-2019</t>
        </is>
      </c>
      <c r="B1711" s="1" t="n">
        <v>43700</v>
      </c>
      <c r="C1711" s="1" t="n">
        <v>45586</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43004-2019</t>
        </is>
      </c>
      <c r="B1712" s="1" t="n">
        <v>43700</v>
      </c>
      <c r="C1712" s="1" t="n">
        <v>45586</v>
      </c>
      <c r="D1712" t="inlineStr">
        <is>
          <t>VÄSTRA GÖTALANDS LÄN</t>
        </is>
      </c>
      <c r="E1712" t="inlineStr">
        <is>
          <t>HERRLJUNGA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42176-2019</t>
        </is>
      </c>
      <c r="B1713" s="1" t="n">
        <v>43703</v>
      </c>
      <c r="C1713" s="1" t="n">
        <v>45586</v>
      </c>
      <c r="D1713" t="inlineStr">
        <is>
          <t>VÄSTRA GÖTALANDS LÄN</t>
        </is>
      </c>
      <c r="E1713" t="inlineStr">
        <is>
          <t>KARLSBORG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42274-2019</t>
        </is>
      </c>
      <c r="B1714" s="1" t="n">
        <v>43703</v>
      </c>
      <c r="C1714" s="1" t="n">
        <v>45586</v>
      </c>
      <c r="D1714" t="inlineStr">
        <is>
          <t>VÄSTRA GÖTALANDS LÄN</t>
        </is>
      </c>
      <c r="E1714" t="inlineStr">
        <is>
          <t>HJO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42378-2019</t>
        </is>
      </c>
      <c r="B1715" s="1" t="n">
        <v>43703</v>
      </c>
      <c r="C1715" s="1" t="n">
        <v>45586</v>
      </c>
      <c r="D1715" t="inlineStr">
        <is>
          <t>VÄSTRA GÖTALANDS LÄN</t>
        </is>
      </c>
      <c r="E1715" t="inlineStr">
        <is>
          <t>LIDKÖPING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42293-2019</t>
        </is>
      </c>
      <c r="B1716" s="1" t="n">
        <v>43703</v>
      </c>
      <c r="C1716" s="1" t="n">
        <v>45586</v>
      </c>
      <c r="D1716" t="inlineStr">
        <is>
          <t>VÄSTRA GÖTALANDS LÄN</t>
        </is>
      </c>
      <c r="E1716" t="inlineStr">
        <is>
          <t>HJO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42379-2019</t>
        </is>
      </c>
      <c r="B1717" s="1" t="n">
        <v>43703</v>
      </c>
      <c r="C1717" s="1" t="n">
        <v>45586</v>
      </c>
      <c r="D1717" t="inlineStr">
        <is>
          <t>VÄSTRA GÖTALANDS LÄN</t>
        </is>
      </c>
      <c r="E1717" t="inlineStr">
        <is>
          <t>LIDKÖPING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42363-2019</t>
        </is>
      </c>
      <c r="B1718" s="1" t="n">
        <v>43703</v>
      </c>
      <c r="C1718" s="1" t="n">
        <v>45586</v>
      </c>
      <c r="D1718" t="inlineStr">
        <is>
          <t>VÄSTRA GÖTALANDS LÄN</t>
        </is>
      </c>
      <c r="E1718" t="inlineStr">
        <is>
          <t>TROLLHÄTTAN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43423-2019</t>
        </is>
      </c>
      <c r="B1719" s="1" t="n">
        <v>43703</v>
      </c>
      <c r="C1719" s="1" t="n">
        <v>45586</v>
      </c>
      <c r="D1719" t="inlineStr">
        <is>
          <t>VÄSTRA GÖTALANDS LÄN</t>
        </is>
      </c>
      <c r="E1719" t="inlineStr">
        <is>
          <t>MELLERUD</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43458-2019</t>
        </is>
      </c>
      <c r="B1720" s="1" t="n">
        <v>43703</v>
      </c>
      <c r="C1720" s="1" t="n">
        <v>45586</v>
      </c>
      <c r="D1720" t="inlineStr">
        <is>
          <t>VÄSTRA GÖTALANDS LÄN</t>
        </is>
      </c>
      <c r="E1720" t="inlineStr">
        <is>
          <t>LIDKÖPING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42524-2019</t>
        </is>
      </c>
      <c r="B1721" s="1" t="n">
        <v>43704</v>
      </c>
      <c r="C1721" s="1" t="n">
        <v>45586</v>
      </c>
      <c r="D1721" t="inlineStr">
        <is>
          <t>VÄSTRA GÖTALANDS LÄN</t>
        </is>
      </c>
      <c r="E1721" t="inlineStr">
        <is>
          <t>SKÖVDE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42526-2019</t>
        </is>
      </c>
      <c r="B1722" s="1" t="n">
        <v>43704</v>
      </c>
      <c r="C1722" s="1" t="n">
        <v>45586</v>
      </c>
      <c r="D1722" t="inlineStr">
        <is>
          <t>VÄSTRA GÖTALANDS LÄN</t>
        </is>
      </c>
      <c r="E1722" t="inlineStr">
        <is>
          <t>GULLSPÅNG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42550-2019</t>
        </is>
      </c>
      <c r="B1723" s="1" t="n">
        <v>43704</v>
      </c>
      <c r="C1723" s="1" t="n">
        <v>45586</v>
      </c>
      <c r="D1723" t="inlineStr">
        <is>
          <t>VÄSTRA GÖTALANDS LÄN</t>
        </is>
      </c>
      <c r="E1723" t="inlineStr">
        <is>
          <t>LIDKÖPING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42614-2019</t>
        </is>
      </c>
      <c r="B1724" s="1" t="n">
        <v>43704</v>
      </c>
      <c r="C1724" s="1" t="n">
        <v>45586</v>
      </c>
      <c r="D1724" t="inlineStr">
        <is>
          <t>VÄSTRA GÖTALANDS LÄN</t>
        </is>
      </c>
      <c r="E1724" t="inlineStr">
        <is>
          <t>ULRICEHAMN</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42532-2019</t>
        </is>
      </c>
      <c r="B1725" s="1" t="n">
        <v>43704</v>
      </c>
      <c r="C1725" s="1" t="n">
        <v>45586</v>
      </c>
      <c r="D1725" t="inlineStr">
        <is>
          <t>VÄSTRA GÖTALANDS LÄN</t>
        </is>
      </c>
      <c r="E1725" t="inlineStr">
        <is>
          <t>MARK</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42555-2019</t>
        </is>
      </c>
      <c r="B1726" s="1" t="n">
        <v>43704</v>
      </c>
      <c r="C1726" s="1" t="n">
        <v>45586</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42582-2019</t>
        </is>
      </c>
      <c r="B1727" s="1" t="n">
        <v>43704</v>
      </c>
      <c r="C1727" s="1" t="n">
        <v>45586</v>
      </c>
      <c r="D1727" t="inlineStr">
        <is>
          <t>VÄSTRA GÖTALANDS LÄN</t>
        </is>
      </c>
      <c r="E1727" t="inlineStr">
        <is>
          <t>TROLLHÄTTAN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42693-2019</t>
        </is>
      </c>
      <c r="B1728" s="1" t="n">
        <v>43704</v>
      </c>
      <c r="C1728" s="1" t="n">
        <v>45586</v>
      </c>
      <c r="D1728" t="inlineStr">
        <is>
          <t>VÄSTRA GÖTALANDS LÄN</t>
        </is>
      </c>
      <c r="E1728" t="inlineStr">
        <is>
          <t>MARK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43437-2019</t>
        </is>
      </c>
      <c r="B1729" s="1" t="n">
        <v>43704</v>
      </c>
      <c r="C1729" s="1" t="n">
        <v>45586</v>
      </c>
      <c r="D1729" t="inlineStr">
        <is>
          <t>VÄSTRA GÖTALANDS LÄN</t>
        </is>
      </c>
      <c r="E1729" t="inlineStr">
        <is>
          <t>MARIESTAD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42808-2019</t>
        </is>
      </c>
      <c r="B1730" s="1" t="n">
        <v>43705</v>
      </c>
      <c r="C1730" s="1" t="n">
        <v>45586</v>
      </c>
      <c r="D1730" t="inlineStr">
        <is>
          <t>VÄSTRA GÖTALANDS LÄN</t>
        </is>
      </c>
      <c r="E1730" t="inlineStr">
        <is>
          <t>ULRICEHAMN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42803-2019</t>
        </is>
      </c>
      <c r="B1731" s="1" t="n">
        <v>43705</v>
      </c>
      <c r="C1731" s="1" t="n">
        <v>45586</v>
      </c>
      <c r="D1731" t="inlineStr">
        <is>
          <t>VÄSTRA GÖTALANDS LÄN</t>
        </is>
      </c>
      <c r="E1731" t="inlineStr">
        <is>
          <t>ULRICEHAMN</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42812-2019</t>
        </is>
      </c>
      <c r="B1732" s="1" t="n">
        <v>43705</v>
      </c>
      <c r="C1732" s="1" t="n">
        <v>45586</v>
      </c>
      <c r="D1732" t="inlineStr">
        <is>
          <t>VÄSTRA GÖTALANDS LÄN</t>
        </is>
      </c>
      <c r="E1732" t="inlineStr">
        <is>
          <t>ULRICEHAMN</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42867-2019</t>
        </is>
      </c>
      <c r="B1733" s="1" t="n">
        <v>43705</v>
      </c>
      <c r="C1733" s="1" t="n">
        <v>45586</v>
      </c>
      <c r="D1733" t="inlineStr">
        <is>
          <t>VÄSTRA GÖTALANDS LÄN</t>
        </is>
      </c>
      <c r="E1733" t="inlineStr">
        <is>
          <t>GULLSPÅNG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42807-2019</t>
        </is>
      </c>
      <c r="B1734" s="1" t="n">
        <v>43705</v>
      </c>
      <c r="C1734" s="1" t="n">
        <v>45586</v>
      </c>
      <c r="D1734" t="inlineStr">
        <is>
          <t>VÄSTRA GÖTALANDS LÄN</t>
        </is>
      </c>
      <c r="E1734" t="inlineStr">
        <is>
          <t>ULRICEHAMN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42964-2019</t>
        </is>
      </c>
      <c r="B1735" s="1" t="n">
        <v>43705</v>
      </c>
      <c r="C1735" s="1" t="n">
        <v>45586</v>
      </c>
      <c r="D1735" t="inlineStr">
        <is>
          <t>VÄSTRA GÖTALANDS LÄN</t>
        </is>
      </c>
      <c r="E1735" t="inlineStr">
        <is>
          <t>KARLSBORG</t>
        </is>
      </c>
      <c r="F1735" t="inlineStr">
        <is>
          <t>Övriga statliga verk och myndigheter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42811-2019</t>
        </is>
      </c>
      <c r="B1736" s="1" t="n">
        <v>43705</v>
      </c>
      <c r="C1736" s="1" t="n">
        <v>45586</v>
      </c>
      <c r="D1736" t="inlineStr">
        <is>
          <t>VÄSTRA GÖTALANDS LÄN</t>
        </is>
      </c>
      <c r="E1736" t="inlineStr">
        <is>
          <t>ULRICEHAMN</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42861-2019</t>
        </is>
      </c>
      <c r="B1737" s="1" t="n">
        <v>43705</v>
      </c>
      <c r="C1737" s="1" t="n">
        <v>45586</v>
      </c>
      <c r="D1737" t="inlineStr">
        <is>
          <t>VÄSTRA GÖTALANDS LÄN</t>
        </is>
      </c>
      <c r="E1737" t="inlineStr">
        <is>
          <t>SKÖVDE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42924-2019</t>
        </is>
      </c>
      <c r="B1738" s="1" t="n">
        <v>43705</v>
      </c>
      <c r="C1738" s="1" t="n">
        <v>45586</v>
      </c>
      <c r="D1738" t="inlineStr">
        <is>
          <t>VÄSTRA GÖTALANDS LÄN</t>
        </is>
      </c>
      <c r="E1738" t="inlineStr">
        <is>
          <t>BENGTSFORS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42965-2019</t>
        </is>
      </c>
      <c r="B1739" s="1" t="n">
        <v>43705</v>
      </c>
      <c r="C1739" s="1" t="n">
        <v>45586</v>
      </c>
      <c r="D1739" t="inlineStr">
        <is>
          <t>VÄSTRA GÖTALANDS LÄN</t>
        </is>
      </c>
      <c r="E1739" t="inlineStr">
        <is>
          <t>KARLSBORG</t>
        </is>
      </c>
      <c r="F1739" t="inlineStr">
        <is>
          <t>Övriga statliga verk och myndigheter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43032-2019</t>
        </is>
      </c>
      <c r="B1740" s="1" t="n">
        <v>43705</v>
      </c>
      <c r="C1740" s="1" t="n">
        <v>45586</v>
      </c>
      <c r="D1740" t="inlineStr">
        <is>
          <t>VÄSTRA GÖTALANDS LÄN</t>
        </is>
      </c>
      <c r="E1740" t="inlineStr">
        <is>
          <t>SVENLJUNGA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43144-2019</t>
        </is>
      </c>
      <c r="B1741" s="1" t="n">
        <v>43705</v>
      </c>
      <c r="C1741" s="1" t="n">
        <v>45586</v>
      </c>
      <c r="D1741" t="inlineStr">
        <is>
          <t>VÄSTRA GÖTALANDS LÄN</t>
        </is>
      </c>
      <c r="E1741" t="inlineStr">
        <is>
          <t>TANUM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44251-2019</t>
        </is>
      </c>
      <c r="B1742" s="1" t="n">
        <v>43705</v>
      </c>
      <c r="C1742" s="1" t="n">
        <v>45586</v>
      </c>
      <c r="D1742" t="inlineStr">
        <is>
          <t>VÄSTRA GÖTALANDS LÄN</t>
        </is>
      </c>
      <c r="E1742" t="inlineStr">
        <is>
          <t>VARA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42815-2019</t>
        </is>
      </c>
      <c r="B1743" s="1" t="n">
        <v>43705</v>
      </c>
      <c r="C1743" s="1" t="n">
        <v>45586</v>
      </c>
      <c r="D1743" t="inlineStr">
        <is>
          <t>VÄSTRA GÖTALANDS LÄN</t>
        </is>
      </c>
      <c r="E1743" t="inlineStr">
        <is>
          <t>BORÅS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43271-2019</t>
        </is>
      </c>
      <c r="B1744" s="1" t="n">
        <v>43706</v>
      </c>
      <c r="C1744" s="1" t="n">
        <v>45586</v>
      </c>
      <c r="D1744" t="inlineStr">
        <is>
          <t>VÄSTRA GÖTALANDS LÄN</t>
        </is>
      </c>
      <c r="E1744" t="inlineStr">
        <is>
          <t>MARK</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43358-2019</t>
        </is>
      </c>
      <c r="B1745" s="1" t="n">
        <v>43706</v>
      </c>
      <c r="C1745" s="1" t="n">
        <v>45586</v>
      </c>
      <c r="D1745" t="inlineStr">
        <is>
          <t>VÄSTRA GÖTALANDS LÄN</t>
        </is>
      </c>
      <c r="E1745" t="inlineStr">
        <is>
          <t>BORÅS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43385-2019</t>
        </is>
      </c>
      <c r="B1746" s="1" t="n">
        <v>43706</v>
      </c>
      <c r="C1746" s="1" t="n">
        <v>45586</v>
      </c>
      <c r="D1746" t="inlineStr">
        <is>
          <t>VÄSTRA GÖTALANDS LÄN</t>
        </is>
      </c>
      <c r="E1746" t="inlineStr">
        <is>
          <t>VARA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43393-2019</t>
        </is>
      </c>
      <c r="B1747" s="1" t="n">
        <v>43706</v>
      </c>
      <c r="C1747" s="1" t="n">
        <v>45586</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43233-2019</t>
        </is>
      </c>
      <c r="B1748" s="1" t="n">
        <v>43706</v>
      </c>
      <c r="C1748" s="1" t="n">
        <v>45586</v>
      </c>
      <c r="D1748" t="inlineStr">
        <is>
          <t>VÄSTRA GÖTALANDS LÄN</t>
        </is>
      </c>
      <c r="E1748" t="inlineStr">
        <is>
          <t>TROLLHÄTTAN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43278-2019</t>
        </is>
      </c>
      <c r="B1749" s="1" t="n">
        <v>43706</v>
      </c>
      <c r="C1749" s="1" t="n">
        <v>45586</v>
      </c>
      <c r="D1749" t="inlineStr">
        <is>
          <t>VÄSTRA GÖTALANDS LÄN</t>
        </is>
      </c>
      <c r="E1749" t="inlineStr">
        <is>
          <t>MARIESTAD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43362-2019</t>
        </is>
      </c>
      <c r="B1750" s="1" t="n">
        <v>43706</v>
      </c>
      <c r="C1750" s="1" t="n">
        <v>45586</v>
      </c>
      <c r="D1750" t="inlineStr">
        <is>
          <t>VÄSTRA GÖTALANDS LÄN</t>
        </is>
      </c>
      <c r="E1750" t="inlineStr">
        <is>
          <t>HERRLJUNGA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43431-2019</t>
        </is>
      </c>
      <c r="B1751" s="1" t="n">
        <v>43706</v>
      </c>
      <c r="C1751" s="1" t="n">
        <v>45586</v>
      </c>
      <c r="D1751" t="inlineStr">
        <is>
          <t>VÄSTRA GÖTALANDS LÄN</t>
        </is>
      </c>
      <c r="E1751" t="inlineStr">
        <is>
          <t>SVENLJUNGA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43537-2019</t>
        </is>
      </c>
      <c r="B1752" s="1" t="n">
        <v>43706</v>
      </c>
      <c r="C1752" s="1" t="n">
        <v>45586</v>
      </c>
      <c r="D1752" t="inlineStr">
        <is>
          <t>VÄSTRA GÖTALANDS LÄN</t>
        </is>
      </c>
      <c r="E1752" t="inlineStr">
        <is>
          <t>GRÄSTORP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43528-2019</t>
        </is>
      </c>
      <c r="B1753" s="1" t="n">
        <v>43706</v>
      </c>
      <c r="C1753" s="1" t="n">
        <v>45586</v>
      </c>
      <c r="D1753" t="inlineStr">
        <is>
          <t>VÄSTRA GÖTALANDS LÄN</t>
        </is>
      </c>
      <c r="E1753" t="inlineStr">
        <is>
          <t>BORÅS</t>
        </is>
      </c>
      <c r="F1753" t="inlineStr">
        <is>
          <t>Sveaskog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43381-2019</t>
        </is>
      </c>
      <c r="B1754" s="1" t="n">
        <v>43706</v>
      </c>
      <c r="C1754" s="1" t="n">
        <v>45586</v>
      </c>
      <c r="D1754" t="inlineStr">
        <is>
          <t>VÄSTRA GÖTALANDS LÄN</t>
        </is>
      </c>
      <c r="E1754" t="inlineStr">
        <is>
          <t>BORÅS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43341-2019</t>
        </is>
      </c>
      <c r="B1755" s="1" t="n">
        <v>43706</v>
      </c>
      <c r="C1755" s="1" t="n">
        <v>45586</v>
      </c>
      <c r="D1755" t="inlineStr">
        <is>
          <t>VÄSTRA GÖTALANDS LÄN</t>
        </is>
      </c>
      <c r="E1755" t="inlineStr">
        <is>
          <t>MARIESTAD</t>
        </is>
      </c>
      <c r="F1755" t="inlineStr">
        <is>
          <t>Kyrkan</t>
        </is>
      </c>
      <c r="G1755" t="n">
        <v>1.8</v>
      </c>
      <c r="H1755" t="n">
        <v>0</v>
      </c>
      <c r="I1755" t="n">
        <v>0</v>
      </c>
      <c r="J1755" t="n">
        <v>0</v>
      </c>
      <c r="K1755" t="n">
        <v>0</v>
      </c>
      <c r="L1755" t="n">
        <v>0</v>
      </c>
      <c r="M1755" t="n">
        <v>0</v>
      </c>
      <c r="N1755" t="n">
        <v>0</v>
      </c>
      <c r="O1755" t="n">
        <v>0</v>
      </c>
      <c r="P1755" t="n">
        <v>0</v>
      </c>
      <c r="Q1755" t="n">
        <v>0</v>
      </c>
      <c r="R1755" s="2" t="inlineStr"/>
      <c r="U1755">
        <f>HYPERLINK("https://klasma.github.io/Logging_1493/knärot/A 43341-2019 karta knärot.png", "A 43341-2019")</f>
        <v/>
      </c>
      <c r="V1755">
        <f>HYPERLINK("https://klasma.github.io/Logging_1493/klagomål/A 43341-2019 FSC-klagomål.docx", "A 43341-2019")</f>
        <v/>
      </c>
      <c r="W1755">
        <f>HYPERLINK("https://klasma.github.io/Logging_1493/klagomålsmail/A 43341-2019 FSC-klagomål mail.docx", "A 43341-2019")</f>
        <v/>
      </c>
      <c r="X1755">
        <f>HYPERLINK("https://klasma.github.io/Logging_1493/tillsyn/A 43341-2019 tillsynsbegäran.docx", "A 43341-2019")</f>
        <v/>
      </c>
      <c r="Y1755">
        <f>HYPERLINK("https://klasma.github.io/Logging_1493/tillsynsmail/A 43341-2019 tillsynsbegäran mail.docx", "A 43341-2019")</f>
        <v/>
      </c>
    </row>
    <row r="1756" ht="15" customHeight="1">
      <c r="A1756" t="inlineStr">
        <is>
          <t>A 43562-2019</t>
        </is>
      </c>
      <c r="B1756" s="1" t="n">
        <v>43706</v>
      </c>
      <c r="C1756" s="1" t="n">
        <v>45586</v>
      </c>
      <c r="D1756" t="inlineStr">
        <is>
          <t>VÄSTRA GÖTALANDS LÄN</t>
        </is>
      </c>
      <c r="E1756" t="inlineStr">
        <is>
          <t>LIDKÖPING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43633-2019</t>
        </is>
      </c>
      <c r="B1757" s="1" t="n">
        <v>43707</v>
      </c>
      <c r="C1757" s="1" t="n">
        <v>45586</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43748-2019</t>
        </is>
      </c>
      <c r="B1758" s="1" t="n">
        <v>43707</v>
      </c>
      <c r="C1758" s="1" t="n">
        <v>45586</v>
      </c>
      <c r="D1758" t="inlineStr">
        <is>
          <t>VÄSTRA GÖTALANDS LÄN</t>
        </is>
      </c>
      <c r="E1758" t="inlineStr">
        <is>
          <t>SKARA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43847-2019</t>
        </is>
      </c>
      <c r="B1759" s="1" t="n">
        <v>43707</v>
      </c>
      <c r="C1759" s="1" t="n">
        <v>45586</v>
      </c>
      <c r="D1759" t="inlineStr">
        <is>
          <t>VÄSTRA GÖTALANDS LÄN</t>
        </is>
      </c>
      <c r="E1759" t="inlineStr">
        <is>
          <t>DALS-ED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45003-2019</t>
        </is>
      </c>
      <c r="B1760" s="1" t="n">
        <v>43707</v>
      </c>
      <c r="C1760" s="1" t="n">
        <v>45586</v>
      </c>
      <c r="D1760" t="inlineStr">
        <is>
          <t>VÄSTRA GÖTALANDS LÄN</t>
        </is>
      </c>
      <c r="E1760" t="inlineStr">
        <is>
          <t>BENGTSFORS</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43843-2019</t>
        </is>
      </c>
      <c r="B1761" s="1" t="n">
        <v>43707</v>
      </c>
      <c r="C1761" s="1" t="n">
        <v>45586</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43814-2019</t>
        </is>
      </c>
      <c r="B1762" s="1" t="n">
        <v>43707</v>
      </c>
      <c r="C1762" s="1" t="n">
        <v>45586</v>
      </c>
      <c r="D1762" t="inlineStr">
        <is>
          <t>VÄSTRA GÖTALANDS LÄN</t>
        </is>
      </c>
      <c r="E1762" t="inlineStr">
        <is>
          <t>ULRICEHAMN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45008-2019</t>
        </is>
      </c>
      <c r="B1763" s="1" t="n">
        <v>43707</v>
      </c>
      <c r="C1763" s="1" t="n">
        <v>45586</v>
      </c>
      <c r="D1763" t="inlineStr">
        <is>
          <t>VÄSTRA GÖTALANDS LÄN</t>
        </is>
      </c>
      <c r="E1763" t="inlineStr">
        <is>
          <t>BENGTSFORS</t>
        </is>
      </c>
      <c r="F1763" t="inlineStr">
        <is>
          <t>Kyrkan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44852-2019</t>
        </is>
      </c>
      <c r="B1764" s="1" t="n">
        <v>43707</v>
      </c>
      <c r="C1764" s="1" t="n">
        <v>45586</v>
      </c>
      <c r="D1764" t="inlineStr">
        <is>
          <t>VÄSTRA GÖTALANDS LÄN</t>
        </is>
      </c>
      <c r="E1764" t="inlineStr">
        <is>
          <t>VARA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43925-2019</t>
        </is>
      </c>
      <c r="B1765" s="1" t="n">
        <v>43707</v>
      </c>
      <c r="C1765" s="1" t="n">
        <v>45586</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43962-2019</t>
        </is>
      </c>
      <c r="B1766" s="1" t="n">
        <v>43708</v>
      </c>
      <c r="C1766" s="1" t="n">
        <v>45586</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43991-2019</t>
        </is>
      </c>
      <c r="B1767" s="1" t="n">
        <v>43709</v>
      </c>
      <c r="C1767" s="1" t="n">
        <v>45586</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44008-2019</t>
        </is>
      </c>
      <c r="B1768" s="1" t="n">
        <v>43709</v>
      </c>
      <c r="C1768" s="1" t="n">
        <v>45586</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44129-2019</t>
        </is>
      </c>
      <c r="B1769" s="1" t="n">
        <v>43710</v>
      </c>
      <c r="C1769" s="1" t="n">
        <v>45586</v>
      </c>
      <c r="D1769" t="inlineStr">
        <is>
          <t>VÄSTRA GÖTALANDS LÄN</t>
        </is>
      </c>
      <c r="E1769" t="inlineStr">
        <is>
          <t>SKÖVDE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44229-2019</t>
        </is>
      </c>
      <c r="B1770" s="1" t="n">
        <v>43710</v>
      </c>
      <c r="C1770" s="1" t="n">
        <v>45586</v>
      </c>
      <c r="D1770" t="inlineStr">
        <is>
          <t>VÄSTRA GÖTALANDS LÄN</t>
        </is>
      </c>
      <c r="E1770" t="inlineStr">
        <is>
          <t>TRANEMO</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44242-2019</t>
        </is>
      </c>
      <c r="B1771" s="1" t="n">
        <v>43710</v>
      </c>
      <c r="C1771" s="1" t="n">
        <v>45586</v>
      </c>
      <c r="D1771" t="inlineStr">
        <is>
          <t>VÄSTRA GÖTALANDS LÄN</t>
        </is>
      </c>
      <c r="E1771" t="inlineStr">
        <is>
          <t>ULRICEHAMN</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44174-2019</t>
        </is>
      </c>
      <c r="B1772" s="1" t="n">
        <v>43710</v>
      </c>
      <c r="C1772" s="1" t="n">
        <v>45586</v>
      </c>
      <c r="D1772" t="inlineStr">
        <is>
          <t>VÄSTRA GÖTALANDS LÄN</t>
        </is>
      </c>
      <c r="E1772" t="inlineStr">
        <is>
          <t>BORÅS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44223-2019</t>
        </is>
      </c>
      <c r="B1773" s="1" t="n">
        <v>43710</v>
      </c>
      <c r="C1773" s="1" t="n">
        <v>45586</v>
      </c>
      <c r="D1773" t="inlineStr">
        <is>
          <t>VÄSTRA GÖTALANDS LÄN</t>
        </is>
      </c>
      <c r="E1773" t="inlineStr">
        <is>
          <t>BENGTSFORS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44230-2019</t>
        </is>
      </c>
      <c r="B1774" s="1" t="n">
        <v>43710</v>
      </c>
      <c r="C1774" s="1" t="n">
        <v>45586</v>
      </c>
      <c r="D1774" t="inlineStr">
        <is>
          <t>VÄSTRA GÖTALANDS LÄN</t>
        </is>
      </c>
      <c r="E1774" t="inlineStr">
        <is>
          <t>TRANEMO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45478-2019</t>
        </is>
      </c>
      <c r="B1775" s="1" t="n">
        <v>43710</v>
      </c>
      <c r="C1775" s="1" t="n">
        <v>45586</v>
      </c>
      <c r="D1775" t="inlineStr">
        <is>
          <t>VÄSTRA GÖTALANDS LÄN</t>
        </is>
      </c>
      <c r="E1775" t="inlineStr">
        <is>
          <t>TANUM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45506-2019</t>
        </is>
      </c>
      <c r="B1776" s="1" t="n">
        <v>43710</v>
      </c>
      <c r="C1776" s="1" t="n">
        <v>45586</v>
      </c>
      <c r="D1776" t="inlineStr">
        <is>
          <t>VÄSTRA GÖTALANDS LÄN</t>
        </is>
      </c>
      <c r="E1776" t="inlineStr">
        <is>
          <t>TANUM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45503-2019</t>
        </is>
      </c>
      <c r="B1777" s="1" t="n">
        <v>43710</v>
      </c>
      <c r="C1777" s="1" t="n">
        <v>45586</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45470-2019</t>
        </is>
      </c>
      <c r="B1778" s="1" t="n">
        <v>43710</v>
      </c>
      <c r="C1778" s="1" t="n">
        <v>45586</v>
      </c>
      <c r="D1778" t="inlineStr">
        <is>
          <t>VÄSTRA GÖTALANDS LÄN</t>
        </is>
      </c>
      <c r="E1778" t="inlineStr">
        <is>
          <t>TANUM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44512-2019</t>
        </is>
      </c>
      <c r="B1779" s="1" t="n">
        <v>43711</v>
      </c>
      <c r="C1779" s="1" t="n">
        <v>45586</v>
      </c>
      <c r="D1779" t="inlineStr">
        <is>
          <t>VÄSTRA GÖTALANDS LÄN</t>
        </is>
      </c>
      <c r="E1779" t="inlineStr">
        <is>
          <t>MUNKEDAL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44441-2019</t>
        </is>
      </c>
      <c r="B1780" s="1" t="n">
        <v>43711</v>
      </c>
      <c r="C1780" s="1" t="n">
        <v>45586</v>
      </c>
      <c r="D1780" t="inlineStr">
        <is>
          <t>VÄSTRA GÖTALANDS LÄN</t>
        </is>
      </c>
      <c r="E1780" t="inlineStr">
        <is>
          <t>LIDKÖPING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44517-2019</t>
        </is>
      </c>
      <c r="B1781" s="1" t="n">
        <v>43711</v>
      </c>
      <c r="C1781" s="1" t="n">
        <v>45586</v>
      </c>
      <c r="D1781" t="inlineStr">
        <is>
          <t>VÄSTRA GÖTALANDS LÄN</t>
        </is>
      </c>
      <c r="E1781" t="inlineStr">
        <is>
          <t>MUNKEDAL</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44582-2019</t>
        </is>
      </c>
      <c r="B1782" s="1" t="n">
        <v>43711</v>
      </c>
      <c r="C1782" s="1" t="n">
        <v>45586</v>
      </c>
      <c r="D1782" t="inlineStr">
        <is>
          <t>VÄSTRA GÖTALANDS LÄN</t>
        </is>
      </c>
      <c r="E1782" t="inlineStr">
        <is>
          <t>GRÄSTORP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45614-2019</t>
        </is>
      </c>
      <c r="B1783" s="1" t="n">
        <v>43711</v>
      </c>
      <c r="C1783" s="1" t="n">
        <v>45586</v>
      </c>
      <c r="D1783" t="inlineStr">
        <is>
          <t>VÄSTRA GÖTALANDS LÄN</t>
        </is>
      </c>
      <c r="E1783" t="inlineStr">
        <is>
          <t>BENGTSFORS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44394-2019</t>
        </is>
      </c>
      <c r="B1784" s="1" t="n">
        <v>43711</v>
      </c>
      <c r="C1784" s="1" t="n">
        <v>45586</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44389-2019</t>
        </is>
      </c>
      <c r="B1785" s="1" t="n">
        <v>43711</v>
      </c>
      <c r="C1785" s="1" t="n">
        <v>45586</v>
      </c>
      <c r="D1785" t="inlineStr">
        <is>
          <t>VÄSTRA GÖTALANDS LÄN</t>
        </is>
      </c>
      <c r="E1785" t="inlineStr">
        <is>
          <t>ALINGSÅS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44788-2019</t>
        </is>
      </c>
      <c r="B1786" s="1" t="n">
        <v>43712</v>
      </c>
      <c r="C1786" s="1" t="n">
        <v>45586</v>
      </c>
      <c r="D1786" t="inlineStr">
        <is>
          <t>VÄSTRA GÖTALANDS LÄN</t>
        </is>
      </c>
      <c r="E1786" t="inlineStr">
        <is>
          <t>GÖTENE</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44618-2019</t>
        </is>
      </c>
      <c r="B1787" s="1" t="n">
        <v>43712</v>
      </c>
      <c r="C1787" s="1" t="n">
        <v>45586</v>
      </c>
      <c r="D1787" t="inlineStr">
        <is>
          <t>VÄSTRA GÖTALANDS LÄN</t>
        </is>
      </c>
      <c r="E1787" t="inlineStr">
        <is>
          <t>VARA</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44799-2019</t>
        </is>
      </c>
      <c r="B1788" s="1" t="n">
        <v>43712</v>
      </c>
      <c r="C1788" s="1" t="n">
        <v>45586</v>
      </c>
      <c r="D1788" t="inlineStr">
        <is>
          <t>VÄSTRA GÖTALANDS LÄN</t>
        </is>
      </c>
      <c r="E1788" t="inlineStr">
        <is>
          <t>SKARA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44795-2019</t>
        </is>
      </c>
      <c r="B1789" s="1" t="n">
        <v>43712</v>
      </c>
      <c r="C1789" s="1" t="n">
        <v>45586</v>
      </c>
      <c r="D1789" t="inlineStr">
        <is>
          <t>VÄSTRA GÖTALANDS LÄN</t>
        </is>
      </c>
      <c r="E1789" t="inlineStr">
        <is>
          <t>SKARA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44793-2019</t>
        </is>
      </c>
      <c r="B1790" s="1" t="n">
        <v>43712</v>
      </c>
      <c r="C1790" s="1" t="n">
        <v>45586</v>
      </c>
      <c r="D1790" t="inlineStr">
        <is>
          <t>VÄSTRA GÖTALANDS LÄN</t>
        </is>
      </c>
      <c r="E1790" t="inlineStr">
        <is>
          <t>SKARA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45958-2019</t>
        </is>
      </c>
      <c r="B1791" s="1" t="n">
        <v>43712</v>
      </c>
      <c r="C1791" s="1" t="n">
        <v>45586</v>
      </c>
      <c r="D1791" t="inlineStr">
        <is>
          <t>VÄSTRA GÖTALANDS LÄN</t>
        </is>
      </c>
      <c r="E1791" t="inlineStr">
        <is>
          <t>BENGTSFORS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45875-2019</t>
        </is>
      </c>
      <c r="B1792" s="1" t="n">
        <v>43712</v>
      </c>
      <c r="C1792" s="1" t="n">
        <v>45586</v>
      </c>
      <c r="D1792" t="inlineStr">
        <is>
          <t>VÄSTRA GÖTALANDS LÄN</t>
        </is>
      </c>
      <c r="E1792" t="inlineStr">
        <is>
          <t>BENGTSFORS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44748-2019</t>
        </is>
      </c>
      <c r="B1793" s="1" t="n">
        <v>43712</v>
      </c>
      <c r="C1793" s="1" t="n">
        <v>45586</v>
      </c>
      <c r="D1793" t="inlineStr">
        <is>
          <t>VÄSTRA GÖTALANDS LÄN</t>
        </is>
      </c>
      <c r="E1793" t="inlineStr">
        <is>
          <t>MARIESTAD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44915-2019</t>
        </is>
      </c>
      <c r="B1794" s="1" t="n">
        <v>43713</v>
      </c>
      <c r="C1794" s="1" t="n">
        <v>45586</v>
      </c>
      <c r="D1794" t="inlineStr">
        <is>
          <t>VÄSTRA GÖTALANDS LÄN</t>
        </is>
      </c>
      <c r="E1794" t="inlineStr">
        <is>
          <t>VARA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45177-2019</t>
        </is>
      </c>
      <c r="B1795" s="1" t="n">
        <v>43713</v>
      </c>
      <c r="C1795" s="1" t="n">
        <v>45586</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45193-2019</t>
        </is>
      </c>
      <c r="B1796" s="1" t="n">
        <v>43713</v>
      </c>
      <c r="C1796" s="1" t="n">
        <v>45586</v>
      </c>
      <c r="D1796" t="inlineStr">
        <is>
          <t>VÄSTRA GÖTALANDS LÄN</t>
        </is>
      </c>
      <c r="E1796" t="inlineStr">
        <is>
          <t>ÅMÅL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46049-2019</t>
        </is>
      </c>
      <c r="B1797" s="1" t="n">
        <v>43713</v>
      </c>
      <c r="C1797" s="1" t="n">
        <v>45586</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45410-2019</t>
        </is>
      </c>
      <c r="B1798" s="1" t="n">
        <v>43714</v>
      </c>
      <c r="C1798" s="1" t="n">
        <v>45586</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45366-2019</t>
        </is>
      </c>
      <c r="B1799" s="1" t="n">
        <v>43714</v>
      </c>
      <c r="C1799" s="1" t="n">
        <v>45586</v>
      </c>
      <c r="D1799" t="inlineStr">
        <is>
          <t>VÄSTRA GÖTALANDS LÄN</t>
        </is>
      </c>
      <c r="E1799" t="inlineStr">
        <is>
          <t>KARLSBORG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45471-2019</t>
        </is>
      </c>
      <c r="B1800" s="1" t="n">
        <v>43714</v>
      </c>
      <c r="C1800" s="1" t="n">
        <v>45586</v>
      </c>
      <c r="D1800" t="inlineStr">
        <is>
          <t>VÄSTRA GÖTALANDS LÄN</t>
        </is>
      </c>
      <c r="E1800" t="inlineStr">
        <is>
          <t>TIDAHOLM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46397-2019</t>
        </is>
      </c>
      <c r="B1801" s="1" t="n">
        <v>43714</v>
      </c>
      <c r="C1801" s="1" t="n">
        <v>45586</v>
      </c>
      <c r="D1801" t="inlineStr">
        <is>
          <t>VÄSTRA GÖTALANDS LÄN</t>
        </is>
      </c>
      <c r="E1801" t="inlineStr">
        <is>
          <t>TRANEMO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46402-2019</t>
        </is>
      </c>
      <c r="B1802" s="1" t="n">
        <v>43714</v>
      </c>
      <c r="C1802" s="1" t="n">
        <v>45586</v>
      </c>
      <c r="D1802" t="inlineStr">
        <is>
          <t>VÄSTRA GÖTALANDS LÄN</t>
        </is>
      </c>
      <c r="E1802" t="inlineStr">
        <is>
          <t>LYSEKIL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46400-2019</t>
        </is>
      </c>
      <c r="B1803" s="1" t="n">
        <v>43714</v>
      </c>
      <c r="C1803" s="1" t="n">
        <v>45586</v>
      </c>
      <c r="D1803" t="inlineStr">
        <is>
          <t>VÄSTRA GÖTALANDS LÄN</t>
        </is>
      </c>
      <c r="E1803" t="inlineStr">
        <is>
          <t>TRANEMO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45575-2019</t>
        </is>
      </c>
      <c r="B1804" s="1" t="n">
        <v>43716</v>
      </c>
      <c r="C1804" s="1" t="n">
        <v>45586</v>
      </c>
      <c r="D1804" t="inlineStr">
        <is>
          <t>VÄSTRA GÖTALANDS LÄN</t>
        </is>
      </c>
      <c r="E1804" t="inlineStr">
        <is>
          <t>FALKÖPING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46420-2019</t>
        </is>
      </c>
      <c r="B1805" s="1" t="n">
        <v>43716</v>
      </c>
      <c r="C1805" s="1" t="n">
        <v>45586</v>
      </c>
      <c r="D1805" t="inlineStr">
        <is>
          <t>VÄSTRA GÖTALANDS LÄN</t>
        </is>
      </c>
      <c r="E1805" t="inlineStr">
        <is>
          <t>TANUM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45622-2019</t>
        </is>
      </c>
      <c r="B1806" s="1" t="n">
        <v>43717</v>
      </c>
      <c r="C1806" s="1" t="n">
        <v>45586</v>
      </c>
      <c r="D1806" t="inlineStr">
        <is>
          <t>VÄSTRA GÖTALANDS LÄN</t>
        </is>
      </c>
      <c r="E1806" t="inlineStr">
        <is>
          <t>BORÅS</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45696-2019</t>
        </is>
      </c>
      <c r="B1807" s="1" t="n">
        <v>43717</v>
      </c>
      <c r="C1807" s="1" t="n">
        <v>45586</v>
      </c>
      <c r="D1807" t="inlineStr">
        <is>
          <t>VÄSTRA GÖTALANDS LÄN</t>
        </is>
      </c>
      <c r="E1807" t="inlineStr">
        <is>
          <t>SKARA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45804-2019</t>
        </is>
      </c>
      <c r="B1808" s="1" t="n">
        <v>43717</v>
      </c>
      <c r="C1808" s="1" t="n">
        <v>45586</v>
      </c>
      <c r="D1808" t="inlineStr">
        <is>
          <t>VÄSTRA GÖTALANDS LÄN</t>
        </is>
      </c>
      <c r="E1808" t="inlineStr">
        <is>
          <t>SKARA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45700-2019</t>
        </is>
      </c>
      <c r="B1809" s="1" t="n">
        <v>43717</v>
      </c>
      <c r="C1809" s="1" t="n">
        <v>45586</v>
      </c>
      <c r="D1809" t="inlineStr">
        <is>
          <t>VÄSTRA GÖTALANDS LÄN</t>
        </is>
      </c>
      <c r="E1809" t="inlineStr">
        <is>
          <t>SKARA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45705-2019</t>
        </is>
      </c>
      <c r="B1810" s="1" t="n">
        <v>43717</v>
      </c>
      <c r="C1810" s="1" t="n">
        <v>45586</v>
      </c>
      <c r="D1810" t="inlineStr">
        <is>
          <t>VÄSTRA GÖTALANDS LÄN</t>
        </is>
      </c>
      <c r="E1810" t="inlineStr">
        <is>
          <t>SKARA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45619-2019</t>
        </is>
      </c>
      <c r="B1811" s="1" t="n">
        <v>43717</v>
      </c>
      <c r="C1811" s="1" t="n">
        <v>45586</v>
      </c>
      <c r="D1811" t="inlineStr">
        <is>
          <t>VÄSTRA GÖTALANDS LÄN</t>
        </is>
      </c>
      <c r="E1811" t="inlineStr">
        <is>
          <t>BORÅS</t>
        </is>
      </c>
      <c r="F1811" t="inlineStr">
        <is>
          <t>Sveaskog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45670-2019</t>
        </is>
      </c>
      <c r="B1812" s="1" t="n">
        <v>43717</v>
      </c>
      <c r="C1812" s="1" t="n">
        <v>45586</v>
      </c>
      <c r="D1812" t="inlineStr">
        <is>
          <t>VÄSTRA GÖTALANDS LÄN</t>
        </is>
      </c>
      <c r="E1812" t="inlineStr">
        <is>
          <t>SKARA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45744-2019</t>
        </is>
      </c>
      <c r="B1813" s="1" t="n">
        <v>43717</v>
      </c>
      <c r="C1813" s="1" t="n">
        <v>45586</v>
      </c>
      <c r="D1813" t="inlineStr">
        <is>
          <t>VÄSTRA GÖTALANDS LÄN</t>
        </is>
      </c>
      <c r="E1813" t="inlineStr">
        <is>
          <t>SKARA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45800-2019</t>
        </is>
      </c>
      <c r="B1814" s="1" t="n">
        <v>43717</v>
      </c>
      <c r="C1814" s="1" t="n">
        <v>45586</v>
      </c>
      <c r="D1814" t="inlineStr">
        <is>
          <t>VÄSTRA GÖTALANDS LÄN</t>
        </is>
      </c>
      <c r="E1814" t="inlineStr">
        <is>
          <t>SKARA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45712-2019</t>
        </is>
      </c>
      <c r="B1815" s="1" t="n">
        <v>43717</v>
      </c>
      <c r="C1815" s="1" t="n">
        <v>45586</v>
      </c>
      <c r="D1815" t="inlineStr">
        <is>
          <t>VÄSTRA GÖTALANDS LÄN</t>
        </is>
      </c>
      <c r="E1815" t="inlineStr">
        <is>
          <t>SKARA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45751-2019</t>
        </is>
      </c>
      <c r="B1816" s="1" t="n">
        <v>43717</v>
      </c>
      <c r="C1816" s="1" t="n">
        <v>45586</v>
      </c>
      <c r="D1816" t="inlineStr">
        <is>
          <t>VÄSTRA GÖTALANDS LÄN</t>
        </is>
      </c>
      <c r="E1816" t="inlineStr">
        <is>
          <t>SKARA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45823-2019</t>
        </is>
      </c>
      <c r="B1817" s="1" t="n">
        <v>43717</v>
      </c>
      <c r="C1817" s="1" t="n">
        <v>45586</v>
      </c>
      <c r="D1817" t="inlineStr">
        <is>
          <t>VÄSTRA GÖTALANDS LÄN</t>
        </is>
      </c>
      <c r="E1817" t="inlineStr">
        <is>
          <t>UDDEVALLA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45842-2019</t>
        </is>
      </c>
      <c r="B1818" s="1" t="n">
        <v>43717</v>
      </c>
      <c r="C1818" s="1" t="n">
        <v>45586</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45710-2019</t>
        </is>
      </c>
      <c r="B1819" s="1" t="n">
        <v>43717</v>
      </c>
      <c r="C1819" s="1" t="n">
        <v>45586</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45742-2019</t>
        </is>
      </c>
      <c r="B1820" s="1" t="n">
        <v>43717</v>
      </c>
      <c r="C1820" s="1" t="n">
        <v>45586</v>
      </c>
      <c r="D1820" t="inlineStr">
        <is>
          <t>VÄSTRA GÖTALANDS LÄN</t>
        </is>
      </c>
      <c r="E1820" t="inlineStr">
        <is>
          <t>SKARA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46814-2019</t>
        </is>
      </c>
      <c r="B1821" s="1" t="n">
        <v>43718</v>
      </c>
      <c r="C1821" s="1" t="n">
        <v>45586</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46753-2019</t>
        </is>
      </c>
      <c r="B1822" s="1" t="n">
        <v>43718</v>
      </c>
      <c r="C1822" s="1" t="n">
        <v>45586</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46821-2019</t>
        </is>
      </c>
      <c r="B1823" s="1" t="n">
        <v>43718</v>
      </c>
      <c r="C1823" s="1" t="n">
        <v>45586</v>
      </c>
      <c r="D1823" t="inlineStr">
        <is>
          <t>VÄSTRA GÖTALANDS LÄN</t>
        </is>
      </c>
      <c r="E1823" t="inlineStr">
        <is>
          <t>HERRLJUNGA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46051-2019</t>
        </is>
      </c>
      <c r="B1824" s="1" t="n">
        <v>43718</v>
      </c>
      <c r="C1824" s="1" t="n">
        <v>45586</v>
      </c>
      <c r="D1824" t="inlineStr">
        <is>
          <t>VÄSTRA GÖTALANDS LÄN</t>
        </is>
      </c>
      <c r="E1824" t="inlineStr">
        <is>
          <t>MÖLNDAL</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46180-2019</t>
        </is>
      </c>
      <c r="B1825" s="1" t="n">
        <v>43718</v>
      </c>
      <c r="C1825" s="1" t="n">
        <v>45586</v>
      </c>
      <c r="D1825" t="inlineStr">
        <is>
          <t>VÄSTRA GÖTALANDS LÄN</t>
        </is>
      </c>
      <c r="E1825" t="inlineStr">
        <is>
          <t>HERRLJUNGA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46561-2019</t>
        </is>
      </c>
      <c r="B1826" s="1" t="n">
        <v>43719</v>
      </c>
      <c r="C1826" s="1" t="n">
        <v>45586</v>
      </c>
      <c r="D1826" t="inlineStr">
        <is>
          <t>VÄSTRA GÖTALANDS LÄN</t>
        </is>
      </c>
      <c r="E1826" t="inlineStr">
        <is>
          <t>ALINGSÅS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46569-2019</t>
        </is>
      </c>
      <c r="B1827" s="1" t="n">
        <v>43719</v>
      </c>
      <c r="C1827" s="1" t="n">
        <v>45586</v>
      </c>
      <c r="D1827" t="inlineStr">
        <is>
          <t>VÄSTRA GÖTALANDS LÄN</t>
        </is>
      </c>
      <c r="E1827" t="inlineStr">
        <is>
          <t>ÅMÅL</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46501-2019</t>
        </is>
      </c>
      <c r="B1828" s="1" t="n">
        <v>43719</v>
      </c>
      <c r="C1828" s="1" t="n">
        <v>45586</v>
      </c>
      <c r="D1828" t="inlineStr">
        <is>
          <t>VÄSTRA GÖTALANDS LÄN</t>
        </is>
      </c>
      <c r="E1828" t="inlineStr">
        <is>
          <t>HERRLJUNGA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46516-2019</t>
        </is>
      </c>
      <c r="B1829" s="1" t="n">
        <v>43719</v>
      </c>
      <c r="C1829" s="1" t="n">
        <v>45586</v>
      </c>
      <c r="D1829" t="inlineStr">
        <is>
          <t>VÄSTRA GÖTALANDS LÄN</t>
        </is>
      </c>
      <c r="E1829" t="inlineStr">
        <is>
          <t>HJO</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46565-2019</t>
        </is>
      </c>
      <c r="B1830" s="1" t="n">
        <v>43719</v>
      </c>
      <c r="C1830" s="1" t="n">
        <v>45586</v>
      </c>
      <c r="D1830" t="inlineStr">
        <is>
          <t>VÄSTRA GÖTALANDS LÄN</t>
        </is>
      </c>
      <c r="E1830" t="inlineStr">
        <is>
          <t>HJO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46581-2019</t>
        </is>
      </c>
      <c r="B1831" s="1" t="n">
        <v>43719</v>
      </c>
      <c r="C1831" s="1" t="n">
        <v>45586</v>
      </c>
      <c r="D1831" t="inlineStr">
        <is>
          <t>VÄSTRA GÖTALANDS LÄN</t>
        </is>
      </c>
      <c r="E1831" t="inlineStr">
        <is>
          <t>GULLSPÅNG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46600-2019</t>
        </is>
      </c>
      <c r="B1832" s="1" t="n">
        <v>43719</v>
      </c>
      <c r="C1832" s="1" t="n">
        <v>45586</v>
      </c>
      <c r="D1832" t="inlineStr">
        <is>
          <t>VÄSTRA GÖTALANDS LÄN</t>
        </is>
      </c>
      <c r="E1832" t="inlineStr">
        <is>
          <t>MELLERUD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46648-2019</t>
        </is>
      </c>
      <c r="B1833" s="1" t="n">
        <v>43719</v>
      </c>
      <c r="C1833" s="1" t="n">
        <v>45586</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46665-2019</t>
        </is>
      </c>
      <c r="B1834" s="1" t="n">
        <v>43719</v>
      </c>
      <c r="C1834" s="1" t="n">
        <v>45586</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46717-2019</t>
        </is>
      </c>
      <c r="B1835" s="1" t="n">
        <v>43719</v>
      </c>
      <c r="C1835" s="1" t="n">
        <v>45586</v>
      </c>
      <c r="D1835" t="inlineStr">
        <is>
          <t>VÄSTRA GÖTALANDS LÄN</t>
        </is>
      </c>
      <c r="E1835" t="inlineStr">
        <is>
          <t>VÅRGÅRDA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46585-2019</t>
        </is>
      </c>
      <c r="B1836" s="1" t="n">
        <v>43719</v>
      </c>
      <c r="C1836" s="1" t="n">
        <v>45586</v>
      </c>
      <c r="D1836" t="inlineStr">
        <is>
          <t>VÄSTRA GÖTALANDS LÄN</t>
        </is>
      </c>
      <c r="E1836" t="inlineStr">
        <is>
          <t>ÅMÅL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46644-2019</t>
        </is>
      </c>
      <c r="B1837" s="1" t="n">
        <v>43719</v>
      </c>
      <c r="C1837" s="1" t="n">
        <v>45586</v>
      </c>
      <c r="D1837" t="inlineStr">
        <is>
          <t>VÄSTRA GÖTALANDS LÄN</t>
        </is>
      </c>
      <c r="E1837" t="inlineStr">
        <is>
          <t>TRANEMO</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46715-2019</t>
        </is>
      </c>
      <c r="B1838" s="1" t="n">
        <v>43719</v>
      </c>
      <c r="C1838" s="1" t="n">
        <v>45586</v>
      </c>
      <c r="D1838" t="inlineStr">
        <is>
          <t>VÄSTRA GÖTALANDS LÄN</t>
        </is>
      </c>
      <c r="E1838" t="inlineStr">
        <is>
          <t>LYSEKIL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46564-2019</t>
        </is>
      </c>
      <c r="B1839" s="1" t="n">
        <v>43719</v>
      </c>
      <c r="C1839" s="1" t="n">
        <v>45586</v>
      </c>
      <c r="D1839" t="inlineStr">
        <is>
          <t>VÄSTRA GÖTALANDS LÄN</t>
        </is>
      </c>
      <c r="E1839" t="inlineStr">
        <is>
          <t>HERRLJUNGA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46495-2019</t>
        </is>
      </c>
      <c r="B1840" s="1" t="n">
        <v>43719</v>
      </c>
      <c r="C1840" s="1" t="n">
        <v>45586</v>
      </c>
      <c r="D1840" t="inlineStr">
        <is>
          <t>VÄSTRA GÖTALANDS LÄN</t>
        </is>
      </c>
      <c r="E1840" t="inlineStr">
        <is>
          <t>HERRLJUNGA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46931-2019</t>
        </is>
      </c>
      <c r="B1841" s="1" t="n">
        <v>43720</v>
      </c>
      <c r="C1841" s="1" t="n">
        <v>45586</v>
      </c>
      <c r="D1841" t="inlineStr">
        <is>
          <t>VÄSTRA GÖTALANDS LÄN</t>
        </is>
      </c>
      <c r="E1841" t="inlineStr">
        <is>
          <t>TRANEMO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46829-2019</t>
        </is>
      </c>
      <c r="B1842" s="1" t="n">
        <v>43720</v>
      </c>
      <c r="C1842" s="1" t="n">
        <v>45586</v>
      </c>
      <c r="D1842" t="inlineStr">
        <is>
          <t>VÄSTRA GÖTALANDS LÄN</t>
        </is>
      </c>
      <c r="E1842" t="inlineStr">
        <is>
          <t>DALS-ED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47014-2019</t>
        </is>
      </c>
      <c r="B1843" s="1" t="n">
        <v>43720</v>
      </c>
      <c r="C1843" s="1" t="n">
        <v>45586</v>
      </c>
      <c r="D1843" t="inlineStr">
        <is>
          <t>VÄSTRA GÖTALANDS LÄN</t>
        </is>
      </c>
      <c r="E1843" t="inlineStr">
        <is>
          <t>TÖREBODA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46969-2019</t>
        </is>
      </c>
      <c r="B1844" s="1" t="n">
        <v>43720</v>
      </c>
      <c r="C1844" s="1" t="n">
        <v>45586</v>
      </c>
      <c r="D1844" t="inlineStr">
        <is>
          <t>VÄSTRA GÖTALANDS LÄN</t>
        </is>
      </c>
      <c r="E1844" t="inlineStr">
        <is>
          <t>DALS-ED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47055-2019</t>
        </is>
      </c>
      <c r="B1845" s="1" t="n">
        <v>43720</v>
      </c>
      <c r="C1845" s="1" t="n">
        <v>45586</v>
      </c>
      <c r="D1845" t="inlineStr">
        <is>
          <t>VÄSTRA GÖTALANDS LÄN</t>
        </is>
      </c>
      <c r="E1845" t="inlineStr">
        <is>
          <t>BOLLEBYGD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47063-2019</t>
        </is>
      </c>
      <c r="B1846" s="1" t="n">
        <v>43720</v>
      </c>
      <c r="C1846" s="1" t="n">
        <v>45586</v>
      </c>
      <c r="D1846" t="inlineStr">
        <is>
          <t>VÄSTRA GÖTALANDS LÄN</t>
        </is>
      </c>
      <c r="E1846" t="inlineStr">
        <is>
          <t>MUNKEDAL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47108-2019</t>
        </is>
      </c>
      <c r="B1847" s="1" t="n">
        <v>43720</v>
      </c>
      <c r="C1847" s="1" t="n">
        <v>45586</v>
      </c>
      <c r="D1847" t="inlineStr">
        <is>
          <t>VÄSTRA GÖTALANDS LÄN</t>
        </is>
      </c>
      <c r="E1847" t="inlineStr">
        <is>
          <t>TIDAHOLM</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47206-2019</t>
        </is>
      </c>
      <c r="B1848" s="1" t="n">
        <v>43721</v>
      </c>
      <c r="C1848" s="1" t="n">
        <v>45586</v>
      </c>
      <c r="D1848" t="inlineStr">
        <is>
          <t>VÄSTRA GÖTALANDS LÄN</t>
        </is>
      </c>
      <c r="E1848" t="inlineStr">
        <is>
          <t>SKÖVDE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47210-2019</t>
        </is>
      </c>
      <c r="B1849" s="1" t="n">
        <v>43721</v>
      </c>
      <c r="C1849" s="1" t="n">
        <v>45586</v>
      </c>
      <c r="D1849" t="inlineStr">
        <is>
          <t>VÄSTRA GÖTALANDS LÄN</t>
        </is>
      </c>
      <c r="E1849" t="inlineStr">
        <is>
          <t>GÖTENE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47309-2019</t>
        </is>
      </c>
      <c r="B1850" s="1" t="n">
        <v>43721</v>
      </c>
      <c r="C1850" s="1" t="n">
        <v>45586</v>
      </c>
      <c r="D1850" t="inlineStr">
        <is>
          <t>VÄSTRA GÖTALANDS LÄN</t>
        </is>
      </c>
      <c r="E1850" t="inlineStr">
        <is>
          <t>SVENLJUNGA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47364-2019</t>
        </is>
      </c>
      <c r="B1851" s="1" t="n">
        <v>43721</v>
      </c>
      <c r="C1851" s="1" t="n">
        <v>45586</v>
      </c>
      <c r="D1851" t="inlineStr">
        <is>
          <t>VÄSTRA GÖTALANDS LÄN</t>
        </is>
      </c>
      <c r="E1851" t="inlineStr">
        <is>
          <t>TROLLHÄTTAN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47126-2019</t>
        </is>
      </c>
      <c r="B1852" s="1" t="n">
        <v>43721</v>
      </c>
      <c r="C1852" s="1" t="n">
        <v>45586</v>
      </c>
      <c r="D1852" t="inlineStr">
        <is>
          <t>VÄSTRA GÖTALANDS LÄN</t>
        </is>
      </c>
      <c r="E1852" t="inlineStr">
        <is>
          <t>GÖTENE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47350-2019</t>
        </is>
      </c>
      <c r="B1853" s="1" t="n">
        <v>43721</v>
      </c>
      <c r="C1853" s="1" t="n">
        <v>45586</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47231-2019</t>
        </is>
      </c>
      <c r="B1854" s="1" t="n">
        <v>43721</v>
      </c>
      <c r="C1854" s="1" t="n">
        <v>45586</v>
      </c>
      <c r="D1854" t="inlineStr">
        <is>
          <t>VÄSTRA GÖTALANDS LÄN</t>
        </is>
      </c>
      <c r="E1854" t="inlineStr">
        <is>
          <t>MARIESTAD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47403-2019</t>
        </is>
      </c>
      <c r="B1855" s="1" t="n">
        <v>43722</v>
      </c>
      <c r="C1855" s="1" t="n">
        <v>45586</v>
      </c>
      <c r="D1855" t="inlineStr">
        <is>
          <t>VÄSTRA GÖTALANDS LÄN</t>
        </is>
      </c>
      <c r="E1855" t="inlineStr">
        <is>
          <t>TIDAHOLM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47529-2019</t>
        </is>
      </c>
      <c r="B1856" s="1" t="n">
        <v>43723</v>
      </c>
      <c r="C1856" s="1" t="n">
        <v>45586</v>
      </c>
      <c r="D1856" t="inlineStr">
        <is>
          <t>VÄSTRA GÖTALANDS LÄN</t>
        </is>
      </c>
      <c r="E1856" t="inlineStr">
        <is>
          <t>SOTENÄS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47417-2019</t>
        </is>
      </c>
      <c r="B1857" s="1" t="n">
        <v>43723</v>
      </c>
      <c r="C1857" s="1" t="n">
        <v>45586</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47510-2019</t>
        </is>
      </c>
      <c r="B1858" s="1" t="n">
        <v>43723</v>
      </c>
      <c r="C1858" s="1" t="n">
        <v>45586</v>
      </c>
      <c r="D1858" t="inlineStr">
        <is>
          <t>VÄSTRA GÖTALANDS LÄN</t>
        </is>
      </c>
      <c r="E1858" t="inlineStr">
        <is>
          <t>SOTENÄS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47504-2019</t>
        </is>
      </c>
      <c r="B1859" s="1" t="n">
        <v>43723</v>
      </c>
      <c r="C1859" s="1" t="n">
        <v>45586</v>
      </c>
      <c r="D1859" t="inlineStr">
        <is>
          <t>VÄSTRA GÖTALANDS LÄN</t>
        </is>
      </c>
      <c r="E1859" t="inlineStr">
        <is>
          <t>SOTENÄS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47527-2019</t>
        </is>
      </c>
      <c r="B1860" s="1" t="n">
        <v>43724</v>
      </c>
      <c r="C1860" s="1" t="n">
        <v>45586</v>
      </c>
      <c r="D1860" t="inlineStr">
        <is>
          <t>VÄSTRA GÖTALANDS LÄN</t>
        </is>
      </c>
      <c r="E1860" t="inlineStr">
        <is>
          <t>HJO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47538-2019</t>
        </is>
      </c>
      <c r="B1861" s="1" t="n">
        <v>43724</v>
      </c>
      <c r="C1861" s="1" t="n">
        <v>45586</v>
      </c>
      <c r="D1861" t="inlineStr">
        <is>
          <t>VÄSTRA GÖTALANDS LÄN</t>
        </is>
      </c>
      <c r="E1861" t="inlineStr">
        <is>
          <t>MUNKEDAL</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47594-2019</t>
        </is>
      </c>
      <c r="B1862" s="1" t="n">
        <v>43724</v>
      </c>
      <c r="C1862" s="1" t="n">
        <v>45586</v>
      </c>
      <c r="D1862" t="inlineStr">
        <is>
          <t>VÄSTRA GÖTALANDS LÄN</t>
        </is>
      </c>
      <c r="E1862" t="inlineStr">
        <is>
          <t>HERRLJUNGA</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47618-2019</t>
        </is>
      </c>
      <c r="B1863" s="1" t="n">
        <v>43724</v>
      </c>
      <c r="C1863" s="1" t="n">
        <v>45586</v>
      </c>
      <c r="D1863" t="inlineStr">
        <is>
          <t>VÄSTRA GÖTALANDS LÄN</t>
        </is>
      </c>
      <c r="E1863" t="inlineStr">
        <is>
          <t>TIBRO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47577-2019</t>
        </is>
      </c>
      <c r="B1864" s="1" t="n">
        <v>43724</v>
      </c>
      <c r="C1864" s="1" t="n">
        <v>45586</v>
      </c>
      <c r="D1864" t="inlineStr">
        <is>
          <t>VÄSTRA GÖTALANDS LÄN</t>
        </is>
      </c>
      <c r="E1864" t="inlineStr">
        <is>
          <t>KARLSBORG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47622-2019</t>
        </is>
      </c>
      <c r="B1865" s="1" t="n">
        <v>43724</v>
      </c>
      <c r="C1865" s="1" t="n">
        <v>45586</v>
      </c>
      <c r="D1865" t="inlineStr">
        <is>
          <t>VÄSTRA GÖTALANDS LÄN</t>
        </is>
      </c>
      <c r="E1865" t="inlineStr">
        <is>
          <t>STRÖMSTAD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47613-2019</t>
        </is>
      </c>
      <c r="B1866" s="1" t="n">
        <v>43724</v>
      </c>
      <c r="C1866" s="1" t="n">
        <v>45586</v>
      </c>
      <c r="D1866" t="inlineStr">
        <is>
          <t>VÄSTRA GÖTALANDS LÄN</t>
        </is>
      </c>
      <c r="E1866" t="inlineStr">
        <is>
          <t>TIBRO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47640-2019</t>
        </is>
      </c>
      <c r="B1867" s="1" t="n">
        <v>43724</v>
      </c>
      <c r="C1867" s="1" t="n">
        <v>45586</v>
      </c>
      <c r="D1867" t="inlineStr">
        <is>
          <t>VÄSTRA GÖTALANDS LÄN</t>
        </is>
      </c>
      <c r="E1867" t="inlineStr">
        <is>
          <t>STRÖMSTAD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47671-2019</t>
        </is>
      </c>
      <c r="B1868" s="1" t="n">
        <v>43724</v>
      </c>
      <c r="C1868" s="1" t="n">
        <v>45586</v>
      </c>
      <c r="D1868" t="inlineStr">
        <is>
          <t>VÄSTRA GÖTALANDS LÄN</t>
        </is>
      </c>
      <c r="E1868" t="inlineStr">
        <is>
          <t>ESSUNGA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47621-2019</t>
        </is>
      </c>
      <c r="B1869" s="1" t="n">
        <v>43724</v>
      </c>
      <c r="C1869" s="1" t="n">
        <v>45586</v>
      </c>
      <c r="D1869" t="inlineStr">
        <is>
          <t>VÄSTRA GÖTALANDS LÄN</t>
        </is>
      </c>
      <c r="E1869" t="inlineStr">
        <is>
          <t>STRÖMSTAD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47730-2019</t>
        </is>
      </c>
      <c r="B1870" s="1" t="n">
        <v>43724</v>
      </c>
      <c r="C1870" s="1" t="n">
        <v>45586</v>
      </c>
      <c r="D1870" t="inlineStr">
        <is>
          <t>VÄSTRA GÖTALANDS LÄN</t>
        </is>
      </c>
      <c r="E1870" t="inlineStr">
        <is>
          <t>FÄRGELANDA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47728-2019</t>
        </is>
      </c>
      <c r="B1871" s="1" t="n">
        <v>43724</v>
      </c>
      <c r="C1871" s="1" t="n">
        <v>45586</v>
      </c>
      <c r="D1871" t="inlineStr">
        <is>
          <t>VÄSTRA GÖTALANDS LÄN</t>
        </is>
      </c>
      <c r="E1871" t="inlineStr">
        <is>
          <t>BENGTSFORS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47617-2019</t>
        </is>
      </c>
      <c r="B1872" s="1" t="n">
        <v>43724</v>
      </c>
      <c r="C1872" s="1" t="n">
        <v>45586</v>
      </c>
      <c r="D1872" t="inlineStr">
        <is>
          <t>VÄSTRA GÖTALANDS LÄN</t>
        </is>
      </c>
      <c r="E1872" t="inlineStr">
        <is>
          <t>STRÖMSTAD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47451-2019</t>
        </is>
      </c>
      <c r="B1873" s="1" t="n">
        <v>43724</v>
      </c>
      <c r="C1873" s="1" t="n">
        <v>45586</v>
      </c>
      <c r="D1873" t="inlineStr">
        <is>
          <t>VÄSTRA GÖTALANDS LÄN</t>
        </is>
      </c>
      <c r="E1873" t="inlineStr">
        <is>
          <t>BORÅS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47486-2019</t>
        </is>
      </c>
      <c r="B1874" s="1" t="n">
        <v>43724</v>
      </c>
      <c r="C1874" s="1" t="n">
        <v>45586</v>
      </c>
      <c r="D1874" t="inlineStr">
        <is>
          <t>VÄSTRA GÖTALANDS LÄN</t>
        </is>
      </c>
      <c r="E1874" t="inlineStr">
        <is>
          <t>HJO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47908-2019</t>
        </is>
      </c>
      <c r="B1875" s="1" t="n">
        <v>43725</v>
      </c>
      <c r="C1875" s="1" t="n">
        <v>45586</v>
      </c>
      <c r="D1875" t="inlineStr">
        <is>
          <t>VÄSTRA GÖTALANDS LÄN</t>
        </is>
      </c>
      <c r="E1875" t="inlineStr">
        <is>
          <t>MARK</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47981-2019</t>
        </is>
      </c>
      <c r="B1876" s="1" t="n">
        <v>43725</v>
      </c>
      <c r="C1876" s="1" t="n">
        <v>45586</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47986-2019</t>
        </is>
      </c>
      <c r="B1877" s="1" t="n">
        <v>43725</v>
      </c>
      <c r="C1877" s="1" t="n">
        <v>45586</v>
      </c>
      <c r="D1877" t="inlineStr">
        <is>
          <t>VÄSTRA GÖTALANDS LÄN</t>
        </is>
      </c>
      <c r="E1877" t="inlineStr">
        <is>
          <t>MARK</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48070-2019</t>
        </is>
      </c>
      <c r="B1878" s="1" t="n">
        <v>43725</v>
      </c>
      <c r="C1878" s="1" t="n">
        <v>45586</v>
      </c>
      <c r="D1878" t="inlineStr">
        <is>
          <t>VÄSTRA GÖTALANDS LÄN</t>
        </is>
      </c>
      <c r="E1878" t="inlineStr">
        <is>
          <t>DALS-ED</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47845-2019</t>
        </is>
      </c>
      <c r="B1879" s="1" t="n">
        <v>43725</v>
      </c>
      <c r="C1879" s="1" t="n">
        <v>45586</v>
      </c>
      <c r="D1879" t="inlineStr">
        <is>
          <t>VÄSTRA GÖTALANDS LÄN</t>
        </is>
      </c>
      <c r="E1879" t="inlineStr">
        <is>
          <t>BENGTSFORS</t>
        </is>
      </c>
      <c r="F1879" t="inlineStr">
        <is>
          <t>Kyrkan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48319-2019</t>
        </is>
      </c>
      <c r="B1880" s="1" t="n">
        <v>43726</v>
      </c>
      <c r="C1880" s="1" t="n">
        <v>45586</v>
      </c>
      <c r="D1880" t="inlineStr">
        <is>
          <t>VÄSTRA GÖTALANDS LÄN</t>
        </is>
      </c>
      <c r="E1880" t="inlineStr">
        <is>
          <t>ALINGSÅS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48341-2019</t>
        </is>
      </c>
      <c r="B1881" s="1" t="n">
        <v>43726</v>
      </c>
      <c r="C1881" s="1" t="n">
        <v>45586</v>
      </c>
      <c r="D1881" t="inlineStr">
        <is>
          <t>VÄSTRA GÖTALANDS LÄN</t>
        </is>
      </c>
      <c r="E1881" t="inlineStr">
        <is>
          <t>UDDEVALLA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48425-2019</t>
        </is>
      </c>
      <c r="B1882" s="1" t="n">
        <v>43726</v>
      </c>
      <c r="C1882" s="1" t="n">
        <v>45586</v>
      </c>
      <c r="D1882" t="inlineStr">
        <is>
          <t>VÄSTRA GÖTALANDS LÄN</t>
        </is>
      </c>
      <c r="E1882" t="inlineStr">
        <is>
          <t>GULLSPÅNG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48419-2019</t>
        </is>
      </c>
      <c r="B1883" s="1" t="n">
        <v>43726</v>
      </c>
      <c r="C1883" s="1" t="n">
        <v>45586</v>
      </c>
      <c r="D1883" t="inlineStr">
        <is>
          <t>VÄSTRA GÖTALANDS LÄN</t>
        </is>
      </c>
      <c r="E1883" t="inlineStr">
        <is>
          <t>GULLSPÅNG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48512-2019</t>
        </is>
      </c>
      <c r="B1884" s="1" t="n">
        <v>43726</v>
      </c>
      <c r="C1884" s="1" t="n">
        <v>45586</v>
      </c>
      <c r="D1884" t="inlineStr">
        <is>
          <t>VÄSTRA GÖTALANDS LÄN</t>
        </is>
      </c>
      <c r="E1884" t="inlineStr">
        <is>
          <t>TROLLHÄTTAN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48383-2019</t>
        </is>
      </c>
      <c r="B1885" s="1" t="n">
        <v>43726</v>
      </c>
      <c r="C1885" s="1" t="n">
        <v>45586</v>
      </c>
      <c r="D1885" t="inlineStr">
        <is>
          <t>VÄSTRA GÖTALANDS LÄN</t>
        </is>
      </c>
      <c r="E1885" t="inlineStr">
        <is>
          <t>ULRICEHAMN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48140-2019</t>
        </is>
      </c>
      <c r="B1886" s="1" t="n">
        <v>43726</v>
      </c>
      <c r="C1886" s="1" t="n">
        <v>45586</v>
      </c>
      <c r="D1886" t="inlineStr">
        <is>
          <t>VÄSTRA GÖTALANDS LÄN</t>
        </is>
      </c>
      <c r="E1886" t="inlineStr">
        <is>
          <t>ÅMÅL</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48322-2019</t>
        </is>
      </c>
      <c r="B1887" s="1" t="n">
        <v>43726</v>
      </c>
      <c r="C1887" s="1" t="n">
        <v>45586</v>
      </c>
      <c r="D1887" t="inlineStr">
        <is>
          <t>VÄSTRA GÖTALANDS LÄN</t>
        </is>
      </c>
      <c r="E1887" t="inlineStr">
        <is>
          <t>ALINGSÅS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48436-2019</t>
        </is>
      </c>
      <c r="B1888" s="1" t="n">
        <v>43727</v>
      </c>
      <c r="C1888" s="1" t="n">
        <v>45586</v>
      </c>
      <c r="D1888" t="inlineStr">
        <is>
          <t>VÄSTRA GÖTALANDS LÄN</t>
        </is>
      </c>
      <c r="E1888" t="inlineStr">
        <is>
          <t>SKARA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48413-2019</t>
        </is>
      </c>
      <c r="B1889" s="1" t="n">
        <v>43727</v>
      </c>
      <c r="C1889" s="1" t="n">
        <v>45586</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48416-2019</t>
        </is>
      </c>
      <c r="B1890" s="1" t="n">
        <v>43727</v>
      </c>
      <c r="C1890" s="1" t="n">
        <v>45586</v>
      </c>
      <c r="D1890" t="inlineStr">
        <is>
          <t>VÄSTRA GÖTALANDS LÄN</t>
        </is>
      </c>
      <c r="E1890" t="inlineStr">
        <is>
          <t>BORÅS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48486-2019</t>
        </is>
      </c>
      <c r="B1891" s="1" t="n">
        <v>43727</v>
      </c>
      <c r="C1891" s="1" t="n">
        <v>45586</v>
      </c>
      <c r="D1891" t="inlineStr">
        <is>
          <t>VÄSTRA GÖTALANDS LÄN</t>
        </is>
      </c>
      <c r="E1891" t="inlineStr">
        <is>
          <t>TRANEMO</t>
        </is>
      </c>
      <c r="F1891" t="inlineStr">
        <is>
          <t>Kyrkan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48556-2019</t>
        </is>
      </c>
      <c r="B1892" s="1" t="n">
        <v>43727</v>
      </c>
      <c r="C1892" s="1" t="n">
        <v>45586</v>
      </c>
      <c r="D1892" t="inlineStr">
        <is>
          <t>VÄSTRA GÖTALANDS LÄN</t>
        </is>
      </c>
      <c r="E1892" t="inlineStr">
        <is>
          <t>GRÄSTORP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48774-2019</t>
        </is>
      </c>
      <c r="B1893" s="1" t="n">
        <v>43727</v>
      </c>
      <c r="C1893" s="1" t="n">
        <v>45586</v>
      </c>
      <c r="D1893" t="inlineStr">
        <is>
          <t>VÄSTRA GÖTALANDS LÄN</t>
        </is>
      </c>
      <c r="E1893" t="inlineStr">
        <is>
          <t>ULRICEHAMN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49176-2019</t>
        </is>
      </c>
      <c r="B1894" s="1" t="n">
        <v>43727</v>
      </c>
      <c r="C1894" s="1" t="n">
        <v>45586</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48405-2019</t>
        </is>
      </c>
      <c r="B1895" s="1" t="n">
        <v>43727</v>
      </c>
      <c r="C1895" s="1" t="n">
        <v>45586</v>
      </c>
      <c r="D1895" t="inlineStr">
        <is>
          <t>VÄSTRA GÖTALANDS LÄN</t>
        </is>
      </c>
      <c r="E1895" t="inlineStr">
        <is>
          <t>BORÅS</t>
        </is>
      </c>
      <c r="F1895" t="inlineStr">
        <is>
          <t>Sveaskog</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49209-2019</t>
        </is>
      </c>
      <c r="B1896" s="1" t="n">
        <v>43727</v>
      </c>
      <c r="C1896" s="1" t="n">
        <v>45586</v>
      </c>
      <c r="D1896" t="inlineStr">
        <is>
          <t>VÄSTRA GÖTALANDS LÄN</t>
        </is>
      </c>
      <c r="E1896" t="inlineStr">
        <is>
          <t>GULLSPÅNG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48418-2019</t>
        </is>
      </c>
      <c r="B1897" s="1" t="n">
        <v>43727</v>
      </c>
      <c r="C1897" s="1" t="n">
        <v>45586</v>
      </c>
      <c r="D1897" t="inlineStr">
        <is>
          <t>VÄSTRA GÖTALANDS LÄN</t>
        </is>
      </c>
      <c r="E1897" t="inlineStr">
        <is>
          <t>BORÅS</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49158-2019</t>
        </is>
      </c>
      <c r="B1898" s="1" t="n">
        <v>43727</v>
      </c>
      <c r="C1898" s="1" t="n">
        <v>45586</v>
      </c>
      <c r="D1898" t="inlineStr">
        <is>
          <t>VÄSTRA GÖTALANDS LÄN</t>
        </is>
      </c>
      <c r="E1898" t="inlineStr">
        <is>
          <t>GULLSPÅNG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48735-2019</t>
        </is>
      </c>
      <c r="B1899" s="1" t="n">
        <v>43727</v>
      </c>
      <c r="C1899" s="1" t="n">
        <v>45586</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48579-2019</t>
        </is>
      </c>
      <c r="B1900" s="1" t="n">
        <v>43727</v>
      </c>
      <c r="C1900" s="1" t="n">
        <v>45586</v>
      </c>
      <c r="D1900" t="inlineStr">
        <is>
          <t>VÄSTRA GÖTALANDS LÄN</t>
        </is>
      </c>
      <c r="E1900" t="inlineStr">
        <is>
          <t>LIDKÖPING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48674-2019</t>
        </is>
      </c>
      <c r="B1901" s="1" t="n">
        <v>43728</v>
      </c>
      <c r="C1901" s="1" t="n">
        <v>45586</v>
      </c>
      <c r="D1901" t="inlineStr">
        <is>
          <t>VÄSTRA GÖTALANDS LÄN</t>
        </is>
      </c>
      <c r="E1901" t="inlineStr">
        <is>
          <t>SVENLJUNGA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48660-2019</t>
        </is>
      </c>
      <c r="B1902" s="1" t="n">
        <v>43728</v>
      </c>
      <c r="C1902" s="1" t="n">
        <v>45586</v>
      </c>
      <c r="D1902" t="inlineStr">
        <is>
          <t>VÄSTRA GÖTALANDS LÄN</t>
        </is>
      </c>
      <c r="E1902" t="inlineStr">
        <is>
          <t>SVENLJUNGA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48870-2019</t>
        </is>
      </c>
      <c r="B1903" s="1" t="n">
        <v>43728</v>
      </c>
      <c r="C1903" s="1" t="n">
        <v>45586</v>
      </c>
      <c r="D1903" t="inlineStr">
        <is>
          <t>VÄSTRA GÖTALANDS LÄN</t>
        </is>
      </c>
      <c r="E1903" t="inlineStr">
        <is>
          <t>MARIESTAD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48655-2019</t>
        </is>
      </c>
      <c r="B1904" s="1" t="n">
        <v>43728</v>
      </c>
      <c r="C1904" s="1" t="n">
        <v>45586</v>
      </c>
      <c r="D1904" t="inlineStr">
        <is>
          <t>VÄSTRA GÖTALANDS LÄN</t>
        </is>
      </c>
      <c r="E1904" t="inlineStr">
        <is>
          <t>STENUNGSUND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48821-2019</t>
        </is>
      </c>
      <c r="B1905" s="1" t="n">
        <v>43728</v>
      </c>
      <c r="C1905" s="1" t="n">
        <v>45586</v>
      </c>
      <c r="D1905" t="inlineStr">
        <is>
          <t>VÄSTRA GÖTALANDS LÄN</t>
        </is>
      </c>
      <c r="E1905" t="inlineStr">
        <is>
          <t>GÖTENE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48697-2019</t>
        </is>
      </c>
      <c r="B1906" s="1" t="n">
        <v>43728</v>
      </c>
      <c r="C1906" s="1" t="n">
        <v>45586</v>
      </c>
      <c r="D1906" t="inlineStr">
        <is>
          <t>VÄSTRA GÖTALANDS LÄN</t>
        </is>
      </c>
      <c r="E1906" t="inlineStr">
        <is>
          <t>TIBRO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49003-2019</t>
        </is>
      </c>
      <c r="B1907" s="1" t="n">
        <v>43730</v>
      </c>
      <c r="C1907" s="1" t="n">
        <v>45586</v>
      </c>
      <c r="D1907" t="inlineStr">
        <is>
          <t>VÄSTRA GÖTALANDS LÄN</t>
        </is>
      </c>
      <c r="E1907" t="inlineStr">
        <is>
          <t>ÅMÅL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49052-2019</t>
        </is>
      </c>
      <c r="B1908" s="1" t="n">
        <v>43731</v>
      </c>
      <c r="C1908" s="1" t="n">
        <v>45586</v>
      </c>
      <c r="D1908" t="inlineStr">
        <is>
          <t>VÄSTRA GÖTALANDS LÄN</t>
        </is>
      </c>
      <c r="E1908" t="inlineStr">
        <is>
          <t>BORÅS</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49171-2019</t>
        </is>
      </c>
      <c r="B1909" s="1" t="n">
        <v>43731</v>
      </c>
      <c r="C1909" s="1" t="n">
        <v>45586</v>
      </c>
      <c r="D1909" t="inlineStr">
        <is>
          <t>VÄSTRA GÖTALANDS LÄN</t>
        </is>
      </c>
      <c r="E1909" t="inlineStr">
        <is>
          <t>ULRICEHAMN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49219-2019</t>
        </is>
      </c>
      <c r="B1910" s="1" t="n">
        <v>43731</v>
      </c>
      <c r="C1910" s="1" t="n">
        <v>45586</v>
      </c>
      <c r="D1910" t="inlineStr">
        <is>
          <t>VÄSTRA GÖTALANDS LÄN</t>
        </is>
      </c>
      <c r="E1910" t="inlineStr">
        <is>
          <t>FALKÖPING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49232-2019</t>
        </is>
      </c>
      <c r="B1911" s="1" t="n">
        <v>43731</v>
      </c>
      <c r="C1911" s="1" t="n">
        <v>45586</v>
      </c>
      <c r="D1911" t="inlineStr">
        <is>
          <t>VÄSTRA GÖTALANDS LÄN</t>
        </is>
      </c>
      <c r="E1911" t="inlineStr">
        <is>
          <t>ULRICEHAMN</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49047-2019</t>
        </is>
      </c>
      <c r="B1912" s="1" t="n">
        <v>43731</v>
      </c>
      <c r="C1912" s="1" t="n">
        <v>45586</v>
      </c>
      <c r="D1912" t="inlineStr">
        <is>
          <t>VÄSTRA GÖTALANDS LÄN</t>
        </is>
      </c>
      <c r="E1912" t="inlineStr">
        <is>
          <t>TÖREBODA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49068-2019</t>
        </is>
      </c>
      <c r="B1913" s="1" t="n">
        <v>43731</v>
      </c>
      <c r="C1913" s="1" t="n">
        <v>45586</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50468-2019</t>
        </is>
      </c>
      <c r="B1914" s="1" t="n">
        <v>43731</v>
      </c>
      <c r="C1914" s="1" t="n">
        <v>45586</v>
      </c>
      <c r="D1914" t="inlineStr">
        <is>
          <t>VÄSTRA GÖTALANDS LÄN</t>
        </is>
      </c>
      <c r="E1914" t="inlineStr">
        <is>
          <t>TIDAHOLM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49714-2019</t>
        </is>
      </c>
      <c r="B1915" s="1" t="n">
        <v>43731</v>
      </c>
      <c r="C1915" s="1" t="n">
        <v>45586</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49250-2019</t>
        </is>
      </c>
      <c r="B1916" s="1" t="n">
        <v>43731</v>
      </c>
      <c r="C1916" s="1" t="n">
        <v>45586</v>
      </c>
      <c r="D1916" t="inlineStr">
        <is>
          <t>VÄSTRA GÖTALANDS LÄN</t>
        </is>
      </c>
      <c r="E1916" t="inlineStr">
        <is>
          <t>MUNKEDAL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50475-2019</t>
        </is>
      </c>
      <c r="B1917" s="1" t="n">
        <v>43731</v>
      </c>
      <c r="C1917" s="1" t="n">
        <v>45586</v>
      </c>
      <c r="D1917" t="inlineStr">
        <is>
          <t>VÄSTRA GÖTALANDS LÄN</t>
        </is>
      </c>
      <c r="E1917" t="inlineStr">
        <is>
          <t>TIDAHOLM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49341-2019</t>
        </is>
      </c>
      <c r="B1918" s="1" t="n">
        <v>43731</v>
      </c>
      <c r="C1918" s="1" t="n">
        <v>45586</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52703-2019</t>
        </is>
      </c>
      <c r="B1919" s="1" t="n">
        <v>43731</v>
      </c>
      <c r="C1919" s="1" t="n">
        <v>45586</v>
      </c>
      <c r="D1919" t="inlineStr">
        <is>
          <t>VÄSTRA GÖTALANDS LÄN</t>
        </is>
      </c>
      <c r="E1919" t="inlineStr">
        <is>
          <t>ULRICEHAMN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49386-2019</t>
        </is>
      </c>
      <c r="B1920" s="1" t="n">
        <v>43732</v>
      </c>
      <c r="C1920" s="1" t="n">
        <v>45586</v>
      </c>
      <c r="D1920" t="inlineStr">
        <is>
          <t>VÄSTRA GÖTALANDS LÄN</t>
        </is>
      </c>
      <c r="E1920" t="inlineStr">
        <is>
          <t>GÖTENE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49519-2019</t>
        </is>
      </c>
      <c r="B1921" s="1" t="n">
        <v>43732</v>
      </c>
      <c r="C1921" s="1" t="n">
        <v>45586</v>
      </c>
      <c r="D1921" t="inlineStr">
        <is>
          <t>VÄSTRA GÖTALANDS LÄN</t>
        </is>
      </c>
      <c r="E1921" t="inlineStr">
        <is>
          <t>LERUM</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49523-2019</t>
        </is>
      </c>
      <c r="B1922" s="1" t="n">
        <v>43732</v>
      </c>
      <c r="C1922" s="1" t="n">
        <v>45586</v>
      </c>
      <c r="D1922" t="inlineStr">
        <is>
          <t>VÄSTRA GÖTALANDS LÄN</t>
        </is>
      </c>
      <c r="E1922" t="inlineStr">
        <is>
          <t>TIDAHOLM</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49544-2019</t>
        </is>
      </c>
      <c r="B1923" s="1" t="n">
        <v>43732</v>
      </c>
      <c r="C1923" s="1" t="n">
        <v>45586</v>
      </c>
      <c r="D1923" t="inlineStr">
        <is>
          <t>VÄSTRA GÖTALANDS LÄN</t>
        </is>
      </c>
      <c r="E1923" t="inlineStr">
        <is>
          <t>MARIESTAD</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49654-2019</t>
        </is>
      </c>
      <c r="B1924" s="1" t="n">
        <v>43732</v>
      </c>
      <c r="C1924" s="1" t="n">
        <v>45586</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49660-2019</t>
        </is>
      </c>
      <c r="B1925" s="1" t="n">
        <v>43732</v>
      </c>
      <c r="C1925" s="1" t="n">
        <v>45586</v>
      </c>
      <c r="D1925" t="inlineStr">
        <is>
          <t>VÄSTRA GÖTALANDS LÄN</t>
        </is>
      </c>
      <c r="E1925" t="inlineStr">
        <is>
          <t>TIDAHOLM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51055-2019</t>
        </is>
      </c>
      <c r="B1926" s="1" t="n">
        <v>43732</v>
      </c>
      <c r="C1926" s="1" t="n">
        <v>45586</v>
      </c>
      <c r="D1926" t="inlineStr">
        <is>
          <t>VÄSTRA GÖTALANDS LÄN</t>
        </is>
      </c>
      <c r="E1926" t="inlineStr">
        <is>
          <t>TANUM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49495-2019</t>
        </is>
      </c>
      <c r="B1927" s="1" t="n">
        <v>43732</v>
      </c>
      <c r="C1927" s="1" t="n">
        <v>45586</v>
      </c>
      <c r="D1927" t="inlineStr">
        <is>
          <t>VÄSTRA GÖTALANDS LÄN</t>
        </is>
      </c>
      <c r="E1927" t="inlineStr">
        <is>
          <t>MUNKEDAL</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49486-2019</t>
        </is>
      </c>
      <c r="B1928" s="1" t="n">
        <v>43732</v>
      </c>
      <c r="C1928" s="1" t="n">
        <v>45586</v>
      </c>
      <c r="D1928" t="inlineStr">
        <is>
          <t>VÄSTRA GÖTALANDS LÄN</t>
        </is>
      </c>
      <c r="E1928" t="inlineStr">
        <is>
          <t>MUNKEDAL</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49797-2019</t>
        </is>
      </c>
      <c r="B1929" s="1" t="n">
        <v>43733</v>
      </c>
      <c r="C1929" s="1" t="n">
        <v>45586</v>
      </c>
      <c r="D1929" t="inlineStr">
        <is>
          <t>VÄSTRA GÖTALANDS LÄN</t>
        </is>
      </c>
      <c r="E1929" t="inlineStr">
        <is>
          <t>HÄRRYDA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49801-2019</t>
        </is>
      </c>
      <c r="B1930" s="1" t="n">
        <v>43733</v>
      </c>
      <c r="C1930" s="1" t="n">
        <v>45586</v>
      </c>
      <c r="D1930" t="inlineStr">
        <is>
          <t>VÄSTRA GÖTALANDS LÄN</t>
        </is>
      </c>
      <c r="E1930" t="inlineStr">
        <is>
          <t>GÖTENE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49787-2019</t>
        </is>
      </c>
      <c r="B1931" s="1" t="n">
        <v>43733</v>
      </c>
      <c r="C1931" s="1" t="n">
        <v>45586</v>
      </c>
      <c r="D1931" t="inlineStr">
        <is>
          <t>VÄSTRA GÖTALANDS LÄN</t>
        </is>
      </c>
      <c r="E1931" t="inlineStr">
        <is>
          <t>ALINGSÅS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49806-2019</t>
        </is>
      </c>
      <c r="B1932" s="1" t="n">
        <v>43733</v>
      </c>
      <c r="C1932" s="1" t="n">
        <v>45586</v>
      </c>
      <c r="D1932" t="inlineStr">
        <is>
          <t>VÄSTRA GÖTALANDS LÄN</t>
        </is>
      </c>
      <c r="E1932" t="inlineStr">
        <is>
          <t>HÄRRYDA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49730-2019</t>
        </is>
      </c>
      <c r="B1933" s="1" t="n">
        <v>43733</v>
      </c>
      <c r="C1933" s="1" t="n">
        <v>45586</v>
      </c>
      <c r="D1933" t="inlineStr">
        <is>
          <t>VÄSTRA GÖTALANDS LÄN</t>
        </is>
      </c>
      <c r="E1933" t="inlineStr">
        <is>
          <t>SVENLJUNGA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49773-2019</t>
        </is>
      </c>
      <c r="B1934" s="1" t="n">
        <v>43733</v>
      </c>
      <c r="C1934" s="1" t="n">
        <v>45586</v>
      </c>
      <c r="D1934" t="inlineStr">
        <is>
          <t>VÄSTRA GÖTALANDS LÄN</t>
        </is>
      </c>
      <c r="E1934" t="inlineStr">
        <is>
          <t>KARLSBORG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49805-2019</t>
        </is>
      </c>
      <c r="B1935" s="1" t="n">
        <v>43733</v>
      </c>
      <c r="C1935" s="1" t="n">
        <v>45586</v>
      </c>
      <c r="D1935" t="inlineStr">
        <is>
          <t>VÄSTRA GÖTALANDS LÄN</t>
        </is>
      </c>
      <c r="E1935" t="inlineStr">
        <is>
          <t>VARA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49862-2019</t>
        </is>
      </c>
      <c r="B1936" s="1" t="n">
        <v>43733</v>
      </c>
      <c r="C1936" s="1" t="n">
        <v>45586</v>
      </c>
      <c r="D1936" t="inlineStr">
        <is>
          <t>VÄSTRA GÖTALANDS LÄN</t>
        </is>
      </c>
      <c r="E1936" t="inlineStr">
        <is>
          <t>MUNKEDAL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49944-2019</t>
        </is>
      </c>
      <c r="B1937" s="1" t="n">
        <v>43733</v>
      </c>
      <c r="C1937" s="1" t="n">
        <v>45586</v>
      </c>
      <c r="D1937" t="inlineStr">
        <is>
          <t>VÄSTRA GÖTALANDS LÄN</t>
        </is>
      </c>
      <c r="E1937" t="inlineStr">
        <is>
          <t>FÄRGELANDA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49929-2019</t>
        </is>
      </c>
      <c r="B1938" s="1" t="n">
        <v>43733</v>
      </c>
      <c r="C1938" s="1" t="n">
        <v>45586</v>
      </c>
      <c r="D1938" t="inlineStr">
        <is>
          <t>VÄSTRA GÖTALANDS LÄN</t>
        </is>
      </c>
      <c r="E1938" t="inlineStr">
        <is>
          <t>UDDEVALLA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49938-2019</t>
        </is>
      </c>
      <c r="B1939" s="1" t="n">
        <v>43733</v>
      </c>
      <c r="C1939" s="1" t="n">
        <v>45586</v>
      </c>
      <c r="D1939" t="inlineStr">
        <is>
          <t>VÄSTRA GÖTALANDS LÄN</t>
        </is>
      </c>
      <c r="E1939" t="inlineStr">
        <is>
          <t>VÄNERSBORG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49930-2019</t>
        </is>
      </c>
      <c r="B1940" s="1" t="n">
        <v>43733</v>
      </c>
      <c r="C1940" s="1" t="n">
        <v>45586</v>
      </c>
      <c r="D1940" t="inlineStr">
        <is>
          <t>VÄSTRA GÖTALANDS LÄN</t>
        </is>
      </c>
      <c r="E1940" t="inlineStr">
        <is>
          <t>UDDEVALLA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49936-2019</t>
        </is>
      </c>
      <c r="B1941" s="1" t="n">
        <v>43733</v>
      </c>
      <c r="C1941" s="1" t="n">
        <v>45586</v>
      </c>
      <c r="D1941" t="inlineStr">
        <is>
          <t>VÄSTRA GÖTALANDS LÄN</t>
        </is>
      </c>
      <c r="E1941" t="inlineStr">
        <is>
          <t>VÄNERSBORG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50095-2019</t>
        </is>
      </c>
      <c r="B1942" s="1" t="n">
        <v>43734</v>
      </c>
      <c r="C1942" s="1" t="n">
        <v>45586</v>
      </c>
      <c r="D1942" t="inlineStr">
        <is>
          <t>VÄSTRA GÖTALANDS LÄN</t>
        </is>
      </c>
      <c r="E1942" t="inlineStr">
        <is>
          <t>GULLSPÅNG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50168-2019</t>
        </is>
      </c>
      <c r="B1943" s="1" t="n">
        <v>43734</v>
      </c>
      <c r="C1943" s="1" t="n">
        <v>45586</v>
      </c>
      <c r="D1943" t="inlineStr">
        <is>
          <t>VÄSTRA GÖTALANDS LÄN</t>
        </is>
      </c>
      <c r="E1943" t="inlineStr">
        <is>
          <t>HÄRRYDA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50111-2019</t>
        </is>
      </c>
      <c r="B1944" s="1" t="n">
        <v>43734</v>
      </c>
      <c r="C1944" s="1" t="n">
        <v>45586</v>
      </c>
      <c r="D1944" t="inlineStr">
        <is>
          <t>VÄSTRA GÖTALANDS LÄN</t>
        </is>
      </c>
      <c r="E1944" t="inlineStr">
        <is>
          <t>HERRLJUNGA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50210-2019</t>
        </is>
      </c>
      <c r="B1945" s="1" t="n">
        <v>43734</v>
      </c>
      <c r="C1945" s="1" t="n">
        <v>45586</v>
      </c>
      <c r="D1945" t="inlineStr">
        <is>
          <t>VÄSTRA GÖTALANDS LÄN</t>
        </is>
      </c>
      <c r="E1945" t="inlineStr">
        <is>
          <t>ALINGSÅS</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50236-2019</t>
        </is>
      </c>
      <c r="B1946" s="1" t="n">
        <v>43734</v>
      </c>
      <c r="C1946" s="1" t="n">
        <v>45586</v>
      </c>
      <c r="D1946" t="inlineStr">
        <is>
          <t>VÄSTRA GÖTALANDS LÄN</t>
        </is>
      </c>
      <c r="E1946" t="inlineStr">
        <is>
          <t>ALINGSÅS</t>
        </is>
      </c>
      <c r="F1946" t="inlineStr">
        <is>
          <t>Kyrkan</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50078-2019</t>
        </is>
      </c>
      <c r="B1947" s="1" t="n">
        <v>43734</v>
      </c>
      <c r="C1947" s="1" t="n">
        <v>45586</v>
      </c>
      <c r="D1947" t="inlineStr">
        <is>
          <t>VÄSTRA GÖTALANDS LÄN</t>
        </is>
      </c>
      <c r="E1947" t="inlineStr">
        <is>
          <t>HERRLJUNGA</t>
        </is>
      </c>
      <c r="F1947" t="inlineStr">
        <is>
          <t>Kyrkan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50076-2019</t>
        </is>
      </c>
      <c r="B1948" s="1" t="n">
        <v>43734</v>
      </c>
      <c r="C1948" s="1" t="n">
        <v>45586</v>
      </c>
      <c r="D1948" t="inlineStr">
        <is>
          <t>VÄSTRA GÖTALANDS LÄN</t>
        </is>
      </c>
      <c r="E1948" t="inlineStr">
        <is>
          <t>GULLSPÅNG</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51957-2019</t>
        </is>
      </c>
      <c r="B1949" s="1" t="n">
        <v>43734</v>
      </c>
      <c r="C1949" s="1" t="n">
        <v>45586</v>
      </c>
      <c r="D1949" t="inlineStr">
        <is>
          <t>VÄSTRA GÖTALANDS LÄN</t>
        </is>
      </c>
      <c r="E1949" t="inlineStr">
        <is>
          <t>TRANEMO</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50427-2019</t>
        </is>
      </c>
      <c r="B1950" s="1" t="n">
        <v>43735</v>
      </c>
      <c r="C1950" s="1" t="n">
        <v>45586</v>
      </c>
      <c r="D1950" t="inlineStr">
        <is>
          <t>VÄSTRA GÖTALANDS LÄN</t>
        </is>
      </c>
      <c r="E1950" t="inlineStr">
        <is>
          <t>TIBRO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50400-2019</t>
        </is>
      </c>
      <c r="B1951" s="1" t="n">
        <v>43735</v>
      </c>
      <c r="C1951" s="1" t="n">
        <v>45586</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50363-2019</t>
        </is>
      </c>
      <c r="B1952" s="1" t="n">
        <v>43735</v>
      </c>
      <c r="C1952" s="1" t="n">
        <v>45586</v>
      </c>
      <c r="D1952" t="inlineStr">
        <is>
          <t>VÄSTRA GÖTALANDS LÄN</t>
        </is>
      </c>
      <c r="E1952" t="inlineStr">
        <is>
          <t>ALINGSÅS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50538-2019</t>
        </is>
      </c>
      <c r="B1953" s="1" t="n">
        <v>43735</v>
      </c>
      <c r="C1953" s="1" t="n">
        <v>45586</v>
      </c>
      <c r="D1953" t="inlineStr">
        <is>
          <t>VÄSTRA GÖTALANDS LÄN</t>
        </is>
      </c>
      <c r="E1953" t="inlineStr">
        <is>
          <t>ALE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52198-2019</t>
        </is>
      </c>
      <c r="B1954" s="1" t="n">
        <v>43735</v>
      </c>
      <c r="C1954" s="1" t="n">
        <v>45586</v>
      </c>
      <c r="D1954" t="inlineStr">
        <is>
          <t>VÄSTRA GÖTALANDS LÄN</t>
        </is>
      </c>
      <c r="E1954" t="inlineStr">
        <is>
          <t>UDDEVALLA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50365-2019</t>
        </is>
      </c>
      <c r="B1955" s="1" t="n">
        <v>43735</v>
      </c>
      <c r="C1955" s="1" t="n">
        <v>45586</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50645-2019</t>
        </is>
      </c>
      <c r="B1956" s="1" t="n">
        <v>43737</v>
      </c>
      <c r="C1956" s="1" t="n">
        <v>45586</v>
      </c>
      <c r="D1956" t="inlineStr">
        <is>
          <t>VÄSTRA GÖTALANDS LÄN</t>
        </is>
      </c>
      <c r="E1956" t="inlineStr">
        <is>
          <t>ÅMÅL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50661-2019</t>
        </is>
      </c>
      <c r="B1957" s="1" t="n">
        <v>43737</v>
      </c>
      <c r="C1957" s="1" t="n">
        <v>45586</v>
      </c>
      <c r="D1957" t="inlineStr">
        <is>
          <t>VÄSTRA GÖTALANDS LÄN</t>
        </is>
      </c>
      <c r="E1957" t="inlineStr">
        <is>
          <t>TROLLHÄTTAN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50660-2019</t>
        </is>
      </c>
      <c r="B1958" s="1" t="n">
        <v>43737</v>
      </c>
      <c r="C1958" s="1" t="n">
        <v>45586</v>
      </c>
      <c r="D1958" t="inlineStr">
        <is>
          <t>VÄSTRA GÖTALANDS LÄN</t>
        </is>
      </c>
      <c r="E1958" t="inlineStr">
        <is>
          <t>MUNKEDAL</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50643-2019</t>
        </is>
      </c>
      <c r="B1959" s="1" t="n">
        <v>43737</v>
      </c>
      <c r="C1959" s="1" t="n">
        <v>45586</v>
      </c>
      <c r="D1959" t="inlineStr">
        <is>
          <t>VÄSTRA GÖTALANDS LÄN</t>
        </is>
      </c>
      <c r="E1959" t="inlineStr">
        <is>
          <t>GULLSPÅNG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50640-2019</t>
        </is>
      </c>
      <c r="B1960" s="1" t="n">
        <v>43737</v>
      </c>
      <c r="C1960" s="1" t="n">
        <v>45586</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50646-2019</t>
        </is>
      </c>
      <c r="B1961" s="1" t="n">
        <v>43737</v>
      </c>
      <c r="C1961" s="1" t="n">
        <v>45586</v>
      </c>
      <c r="D1961" t="inlineStr">
        <is>
          <t>VÄSTRA GÖTALANDS LÄN</t>
        </is>
      </c>
      <c r="E1961" t="inlineStr">
        <is>
          <t>ÅMÅL</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50648-2019</t>
        </is>
      </c>
      <c r="B1962" s="1" t="n">
        <v>43737</v>
      </c>
      <c r="C1962" s="1" t="n">
        <v>45586</v>
      </c>
      <c r="D1962" t="inlineStr">
        <is>
          <t>VÄSTRA GÖTALANDS LÄN</t>
        </is>
      </c>
      <c r="E1962" t="inlineStr">
        <is>
          <t>ÅMÅL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50641-2019</t>
        </is>
      </c>
      <c r="B1963" s="1" t="n">
        <v>43737</v>
      </c>
      <c r="C1963" s="1" t="n">
        <v>45586</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50658-2019</t>
        </is>
      </c>
      <c r="B1964" s="1" t="n">
        <v>43737</v>
      </c>
      <c r="C1964" s="1" t="n">
        <v>45586</v>
      </c>
      <c r="D1964" t="inlineStr">
        <is>
          <t>VÄSTRA GÖTALANDS LÄN</t>
        </is>
      </c>
      <c r="E1964" t="inlineStr">
        <is>
          <t>TROLLHÄTTAN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50871-2019</t>
        </is>
      </c>
      <c r="B1965" s="1" t="n">
        <v>43738</v>
      </c>
      <c r="C1965" s="1" t="n">
        <v>45586</v>
      </c>
      <c r="D1965" t="inlineStr">
        <is>
          <t>VÄSTRA GÖTALANDS LÄN</t>
        </is>
      </c>
      <c r="E1965" t="inlineStr">
        <is>
          <t>KUNGÄLV</t>
        </is>
      </c>
      <c r="G1965" t="n">
        <v>19.2</v>
      </c>
      <c r="H1965" t="n">
        <v>0</v>
      </c>
      <c r="I1965" t="n">
        <v>0</v>
      </c>
      <c r="J1965" t="n">
        <v>0</v>
      </c>
      <c r="K1965" t="n">
        <v>0</v>
      </c>
      <c r="L1965" t="n">
        <v>0</v>
      </c>
      <c r="M1965" t="n">
        <v>0</v>
      </c>
      <c r="N1965" t="n">
        <v>0</v>
      </c>
      <c r="O1965" t="n">
        <v>0</v>
      </c>
      <c r="P1965" t="n">
        <v>0</v>
      </c>
      <c r="Q1965" t="n">
        <v>0</v>
      </c>
      <c r="R1965" s="2" t="inlineStr"/>
    </row>
    <row r="1966" ht="15" customHeight="1">
      <c r="A1966" t="inlineStr">
        <is>
          <t>A 50716-2019</t>
        </is>
      </c>
      <c r="B1966" s="1" t="n">
        <v>43738</v>
      </c>
      <c r="C1966" s="1" t="n">
        <v>45586</v>
      </c>
      <c r="D1966" t="inlineStr">
        <is>
          <t>VÄSTRA GÖTALANDS LÄN</t>
        </is>
      </c>
      <c r="E1966" t="inlineStr">
        <is>
          <t>ORUST</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50741-2019</t>
        </is>
      </c>
      <c r="B1967" s="1" t="n">
        <v>43738</v>
      </c>
      <c r="C1967" s="1" t="n">
        <v>45586</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50832-2019</t>
        </is>
      </c>
      <c r="B1968" s="1" t="n">
        <v>43738</v>
      </c>
      <c r="C1968" s="1" t="n">
        <v>45586</v>
      </c>
      <c r="D1968" t="inlineStr">
        <is>
          <t>VÄSTRA GÖTALANDS LÄN</t>
        </is>
      </c>
      <c r="E1968" t="inlineStr">
        <is>
          <t>ALINGSÅS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50731-2019</t>
        </is>
      </c>
      <c r="B1969" s="1" t="n">
        <v>43738</v>
      </c>
      <c r="C1969" s="1" t="n">
        <v>45586</v>
      </c>
      <c r="D1969" t="inlineStr">
        <is>
          <t>VÄSTRA GÖTALANDS LÄN</t>
        </is>
      </c>
      <c r="E1969" t="inlineStr">
        <is>
          <t>FÄRGELANDA</t>
        </is>
      </c>
      <c r="G1969" t="n">
        <v>17.2</v>
      </c>
      <c r="H1969" t="n">
        <v>0</v>
      </c>
      <c r="I1969" t="n">
        <v>0</v>
      </c>
      <c r="J1969" t="n">
        <v>0</v>
      </c>
      <c r="K1969" t="n">
        <v>0</v>
      </c>
      <c r="L1969" t="n">
        <v>0</v>
      </c>
      <c r="M1969" t="n">
        <v>0</v>
      </c>
      <c r="N1969" t="n">
        <v>0</v>
      </c>
      <c r="O1969" t="n">
        <v>0</v>
      </c>
      <c r="P1969" t="n">
        <v>0</v>
      </c>
      <c r="Q1969" t="n">
        <v>0</v>
      </c>
      <c r="R1969" s="2" t="inlineStr"/>
    </row>
    <row r="1970" ht="15" customHeight="1">
      <c r="A1970" t="inlineStr">
        <is>
          <t>A 50709-2019</t>
        </is>
      </c>
      <c r="B1970" s="1" t="n">
        <v>43738</v>
      </c>
      <c r="C1970" s="1" t="n">
        <v>45586</v>
      </c>
      <c r="D1970" t="inlineStr">
        <is>
          <t>VÄSTRA GÖTALANDS LÄN</t>
        </is>
      </c>
      <c r="E1970" t="inlineStr">
        <is>
          <t>VARA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50715-2019</t>
        </is>
      </c>
      <c r="B1971" s="1" t="n">
        <v>43738</v>
      </c>
      <c r="C1971" s="1" t="n">
        <v>45586</v>
      </c>
      <c r="D1971" t="inlineStr">
        <is>
          <t>VÄSTRA GÖTALANDS LÄN</t>
        </is>
      </c>
      <c r="E1971" t="inlineStr">
        <is>
          <t>MÖLNDAL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51157-2019</t>
        </is>
      </c>
      <c r="B1972" s="1" t="n">
        <v>43739</v>
      </c>
      <c r="C1972" s="1" t="n">
        <v>45586</v>
      </c>
      <c r="D1972" t="inlineStr">
        <is>
          <t>VÄSTRA GÖTALANDS LÄN</t>
        </is>
      </c>
      <c r="E1972" t="inlineStr">
        <is>
          <t>TROLLHÄTTAN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51181-2019</t>
        </is>
      </c>
      <c r="B1973" s="1" t="n">
        <v>43739</v>
      </c>
      <c r="C1973" s="1" t="n">
        <v>45586</v>
      </c>
      <c r="D1973" t="inlineStr">
        <is>
          <t>VÄSTRA GÖTALANDS LÄN</t>
        </is>
      </c>
      <c r="E1973" t="inlineStr">
        <is>
          <t>STRÖMSTAD</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51218-2019</t>
        </is>
      </c>
      <c r="B1974" s="1" t="n">
        <v>43739</v>
      </c>
      <c r="C1974" s="1" t="n">
        <v>45586</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51148-2019</t>
        </is>
      </c>
      <c r="B1975" s="1" t="n">
        <v>43739</v>
      </c>
      <c r="C1975" s="1" t="n">
        <v>45586</v>
      </c>
      <c r="D1975" t="inlineStr">
        <is>
          <t>VÄSTRA GÖTALANDS LÄN</t>
        </is>
      </c>
      <c r="E1975" t="inlineStr">
        <is>
          <t>BENGTSFORS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51175-2019</t>
        </is>
      </c>
      <c r="B1976" s="1" t="n">
        <v>43739</v>
      </c>
      <c r="C1976" s="1" t="n">
        <v>45586</v>
      </c>
      <c r="D1976" t="inlineStr">
        <is>
          <t>VÄSTRA GÖTALANDS LÄN</t>
        </is>
      </c>
      <c r="E1976" t="inlineStr">
        <is>
          <t>TIDAHOLM</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52759-2019</t>
        </is>
      </c>
      <c r="B1977" s="1" t="n">
        <v>43739</v>
      </c>
      <c r="C1977" s="1" t="n">
        <v>45586</v>
      </c>
      <c r="D1977" t="inlineStr">
        <is>
          <t>VÄSTRA GÖTALANDS LÄN</t>
        </is>
      </c>
      <c r="E1977" t="inlineStr">
        <is>
          <t>TRANEMO</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51312-2019</t>
        </is>
      </c>
      <c r="B1978" s="1" t="n">
        <v>43739</v>
      </c>
      <c r="C1978" s="1" t="n">
        <v>45586</v>
      </c>
      <c r="D1978" t="inlineStr">
        <is>
          <t>VÄSTRA GÖTALANDS LÄN</t>
        </is>
      </c>
      <c r="E1978" t="inlineStr">
        <is>
          <t>ULRICEHAMN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51012-2019</t>
        </is>
      </c>
      <c r="B1979" s="1" t="n">
        <v>43739</v>
      </c>
      <c r="C1979" s="1" t="n">
        <v>45586</v>
      </c>
      <c r="D1979" t="inlineStr">
        <is>
          <t>VÄSTRA GÖTALANDS LÄN</t>
        </is>
      </c>
      <c r="E1979" t="inlineStr">
        <is>
          <t>SKARA</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52771-2019</t>
        </is>
      </c>
      <c r="B1980" s="1" t="n">
        <v>43739</v>
      </c>
      <c r="C1980" s="1" t="n">
        <v>45586</v>
      </c>
      <c r="D1980" t="inlineStr">
        <is>
          <t>VÄSTRA GÖTALANDS LÄN</t>
        </is>
      </c>
      <c r="E1980" t="inlineStr">
        <is>
          <t>VARA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51063-2019</t>
        </is>
      </c>
      <c r="B1981" s="1" t="n">
        <v>43739</v>
      </c>
      <c r="C1981" s="1" t="n">
        <v>45586</v>
      </c>
      <c r="D1981" t="inlineStr">
        <is>
          <t>VÄSTRA GÖTALANDS LÄN</t>
        </is>
      </c>
      <c r="E1981" t="inlineStr">
        <is>
          <t>MARIESTAD</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51014-2019</t>
        </is>
      </c>
      <c r="B1982" s="1" t="n">
        <v>43739</v>
      </c>
      <c r="C1982" s="1" t="n">
        <v>45586</v>
      </c>
      <c r="D1982" t="inlineStr">
        <is>
          <t>VÄSTRA GÖTALANDS LÄN</t>
        </is>
      </c>
      <c r="E1982" t="inlineStr">
        <is>
          <t>SKARA</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51465-2019</t>
        </is>
      </c>
      <c r="B1983" s="1" t="n">
        <v>43740</v>
      </c>
      <c r="C1983" s="1" t="n">
        <v>45586</v>
      </c>
      <c r="D1983" t="inlineStr">
        <is>
          <t>VÄSTRA GÖTALANDS LÄN</t>
        </is>
      </c>
      <c r="E1983" t="inlineStr">
        <is>
          <t>GÖTENE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51412-2019</t>
        </is>
      </c>
      <c r="B1984" s="1" t="n">
        <v>43740</v>
      </c>
      <c r="C1984" s="1" t="n">
        <v>45586</v>
      </c>
      <c r="D1984" t="inlineStr">
        <is>
          <t>VÄSTRA GÖTALANDS LÄN</t>
        </is>
      </c>
      <c r="E1984" t="inlineStr">
        <is>
          <t>TRANEMO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51453-2019</t>
        </is>
      </c>
      <c r="B1985" s="1" t="n">
        <v>43740</v>
      </c>
      <c r="C1985" s="1" t="n">
        <v>45586</v>
      </c>
      <c r="D1985" t="inlineStr">
        <is>
          <t>VÄSTRA GÖTALANDS LÄN</t>
        </is>
      </c>
      <c r="E1985" t="inlineStr">
        <is>
          <t>BORÅS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51462-2019</t>
        </is>
      </c>
      <c r="B1986" s="1" t="n">
        <v>43740</v>
      </c>
      <c r="C1986" s="1" t="n">
        <v>45586</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51554-2019</t>
        </is>
      </c>
      <c r="B1987" s="1" t="n">
        <v>43740</v>
      </c>
      <c r="C1987" s="1" t="n">
        <v>45586</v>
      </c>
      <c r="D1987" t="inlineStr">
        <is>
          <t>VÄSTRA GÖTALANDS LÄN</t>
        </is>
      </c>
      <c r="E1987" t="inlineStr">
        <is>
          <t>TIDAHOLM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51591-2019</t>
        </is>
      </c>
      <c r="B1988" s="1" t="n">
        <v>43740</v>
      </c>
      <c r="C1988" s="1" t="n">
        <v>45586</v>
      </c>
      <c r="D1988" t="inlineStr">
        <is>
          <t>VÄSTRA GÖTALANDS LÄN</t>
        </is>
      </c>
      <c r="E1988" t="inlineStr">
        <is>
          <t>DALS-ED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53137-2019</t>
        </is>
      </c>
      <c r="B1989" s="1" t="n">
        <v>43740</v>
      </c>
      <c r="C1989" s="1" t="n">
        <v>45586</v>
      </c>
      <c r="D1989" t="inlineStr">
        <is>
          <t>VÄSTRA GÖTALANDS LÄN</t>
        </is>
      </c>
      <c r="E1989" t="inlineStr">
        <is>
          <t>HÄRRYDA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51477-2019</t>
        </is>
      </c>
      <c r="B1990" s="1" t="n">
        <v>43740</v>
      </c>
      <c r="C1990" s="1" t="n">
        <v>45586</v>
      </c>
      <c r="D1990" t="inlineStr">
        <is>
          <t>VÄSTRA GÖTALANDS LÄN</t>
        </is>
      </c>
      <c r="E1990" t="inlineStr">
        <is>
          <t>MARIESTAD</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51447-2019</t>
        </is>
      </c>
      <c r="B1991" s="1" t="n">
        <v>43740</v>
      </c>
      <c r="C1991" s="1" t="n">
        <v>45586</v>
      </c>
      <c r="D1991" t="inlineStr">
        <is>
          <t>VÄSTRA GÖTALANDS LÄN</t>
        </is>
      </c>
      <c r="E1991" t="inlineStr">
        <is>
          <t>KARLSBORG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51434-2019</t>
        </is>
      </c>
      <c r="B1992" s="1" t="n">
        <v>43740</v>
      </c>
      <c r="C1992" s="1" t="n">
        <v>45586</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51418-2019</t>
        </is>
      </c>
      <c r="B1993" s="1" t="n">
        <v>43740</v>
      </c>
      <c r="C1993" s="1" t="n">
        <v>45586</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51472-2019</t>
        </is>
      </c>
      <c r="B1994" s="1" t="n">
        <v>43740</v>
      </c>
      <c r="C1994" s="1" t="n">
        <v>45586</v>
      </c>
      <c r="D1994" t="inlineStr">
        <is>
          <t>VÄSTRA GÖTALANDS LÄN</t>
        </is>
      </c>
      <c r="E1994" t="inlineStr">
        <is>
          <t>MARIESTAD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52888-2019</t>
        </is>
      </c>
      <c r="B1995" s="1" t="n">
        <v>43740</v>
      </c>
      <c r="C1995" s="1" t="n">
        <v>45586</v>
      </c>
      <c r="D1995" t="inlineStr">
        <is>
          <t>VÄSTRA GÖTALANDS LÄN</t>
        </is>
      </c>
      <c r="E1995" t="inlineStr">
        <is>
          <t>SKÖVDE</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51845-2019</t>
        </is>
      </c>
      <c r="B1996" s="1" t="n">
        <v>43741</v>
      </c>
      <c r="C1996" s="1" t="n">
        <v>45586</v>
      </c>
      <c r="D1996" t="inlineStr">
        <is>
          <t>VÄSTRA GÖTALANDS LÄN</t>
        </is>
      </c>
      <c r="E1996" t="inlineStr">
        <is>
          <t>TIDAHOLM</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51776-2019</t>
        </is>
      </c>
      <c r="B1997" s="1" t="n">
        <v>43741</v>
      </c>
      <c r="C1997" s="1" t="n">
        <v>45586</v>
      </c>
      <c r="D1997" t="inlineStr">
        <is>
          <t>VÄSTRA GÖTALANDS LÄN</t>
        </is>
      </c>
      <c r="E1997" t="inlineStr">
        <is>
          <t>ULRICEHAMN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51832-2019</t>
        </is>
      </c>
      <c r="B1998" s="1" t="n">
        <v>43741</v>
      </c>
      <c r="C1998" s="1" t="n">
        <v>45586</v>
      </c>
      <c r="D1998" t="inlineStr">
        <is>
          <t>VÄSTRA GÖTALANDS LÄN</t>
        </is>
      </c>
      <c r="E1998" t="inlineStr">
        <is>
          <t>SKARA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51920-2019</t>
        </is>
      </c>
      <c r="B1999" s="1" t="n">
        <v>43741</v>
      </c>
      <c r="C1999" s="1" t="n">
        <v>45586</v>
      </c>
      <c r="D1999" t="inlineStr">
        <is>
          <t>VÄSTRA GÖTALANDS LÄN</t>
        </is>
      </c>
      <c r="E1999" t="inlineStr">
        <is>
          <t>MARIESTAD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51919-2019</t>
        </is>
      </c>
      <c r="B2000" s="1" t="n">
        <v>43741</v>
      </c>
      <c r="C2000" s="1" t="n">
        <v>45586</v>
      </c>
      <c r="D2000" t="inlineStr">
        <is>
          <t>VÄSTRA GÖTALANDS LÄN</t>
        </is>
      </c>
      <c r="E2000" t="inlineStr">
        <is>
          <t>MARIESTAD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53697-2019</t>
        </is>
      </c>
      <c r="B2001" s="1" t="n">
        <v>43741</v>
      </c>
      <c r="C2001" s="1" t="n">
        <v>45586</v>
      </c>
      <c r="D2001" t="inlineStr">
        <is>
          <t>VÄSTRA GÖTALANDS LÄN</t>
        </is>
      </c>
      <c r="E2001" t="inlineStr">
        <is>
          <t>DALS-ED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53649-2019</t>
        </is>
      </c>
      <c r="B2002" s="1" t="n">
        <v>43741</v>
      </c>
      <c r="C2002" s="1" t="n">
        <v>45586</v>
      </c>
      <c r="D2002" t="inlineStr">
        <is>
          <t>VÄSTRA GÖTALANDS LÄN</t>
        </is>
      </c>
      <c r="E2002" t="inlineStr">
        <is>
          <t>TÖREBODA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52055-2019</t>
        </is>
      </c>
      <c r="B2003" s="1" t="n">
        <v>43742</v>
      </c>
      <c r="C2003" s="1" t="n">
        <v>45586</v>
      </c>
      <c r="D2003" t="inlineStr">
        <is>
          <t>VÄSTRA GÖTALANDS LÄN</t>
        </is>
      </c>
      <c r="E2003" t="inlineStr">
        <is>
          <t>SKÖVDE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52062-2019</t>
        </is>
      </c>
      <c r="B2004" s="1" t="n">
        <v>43742</v>
      </c>
      <c r="C2004" s="1" t="n">
        <v>45586</v>
      </c>
      <c r="D2004" t="inlineStr">
        <is>
          <t>VÄSTRA GÖTALANDS LÄN</t>
        </is>
      </c>
      <c r="E2004" t="inlineStr">
        <is>
          <t>TÖREBODA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51983-2019</t>
        </is>
      </c>
      <c r="B2005" s="1" t="n">
        <v>43742</v>
      </c>
      <c r="C2005" s="1" t="n">
        <v>45586</v>
      </c>
      <c r="D2005" t="inlineStr">
        <is>
          <t>VÄSTRA GÖTALANDS LÄN</t>
        </is>
      </c>
      <c r="E2005" t="inlineStr">
        <is>
          <t>SKARA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52064-2019</t>
        </is>
      </c>
      <c r="B2006" s="1" t="n">
        <v>43742</v>
      </c>
      <c r="C2006" s="1" t="n">
        <v>45586</v>
      </c>
      <c r="D2006" t="inlineStr">
        <is>
          <t>VÄSTRA GÖTALANDS LÄN</t>
        </is>
      </c>
      <c r="E2006" t="inlineStr">
        <is>
          <t>TÖREBODA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52112-2019</t>
        </is>
      </c>
      <c r="B2007" s="1" t="n">
        <v>43742</v>
      </c>
      <c r="C2007" s="1" t="n">
        <v>45586</v>
      </c>
      <c r="D2007" t="inlineStr">
        <is>
          <t>VÄSTRA GÖTALANDS LÄN</t>
        </is>
      </c>
      <c r="E2007" t="inlineStr">
        <is>
          <t>BENGTSFORS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52189-2019</t>
        </is>
      </c>
      <c r="B2008" s="1" t="n">
        <v>43742</v>
      </c>
      <c r="C2008" s="1" t="n">
        <v>45586</v>
      </c>
      <c r="D2008" t="inlineStr">
        <is>
          <t>VÄSTRA GÖTALANDS LÄN</t>
        </is>
      </c>
      <c r="E2008" t="inlineStr">
        <is>
          <t>TIDAHOLM</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52060-2019</t>
        </is>
      </c>
      <c r="B2009" s="1" t="n">
        <v>43742</v>
      </c>
      <c r="C2009" s="1" t="n">
        <v>45586</v>
      </c>
      <c r="D2009" t="inlineStr">
        <is>
          <t>VÄSTRA GÖTALANDS LÄN</t>
        </is>
      </c>
      <c r="E2009" t="inlineStr">
        <is>
          <t>ALINGSÅS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52272-2019</t>
        </is>
      </c>
      <c r="B2010" s="1" t="n">
        <v>43743</v>
      </c>
      <c r="C2010" s="1" t="n">
        <v>45586</v>
      </c>
      <c r="D2010" t="inlineStr">
        <is>
          <t>VÄSTRA GÖTALANDS LÄN</t>
        </is>
      </c>
      <c r="E2010" t="inlineStr">
        <is>
          <t>SKÖVDE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52277-2019</t>
        </is>
      </c>
      <c r="B2011" s="1" t="n">
        <v>43744</v>
      </c>
      <c r="C2011" s="1" t="n">
        <v>45586</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52321-2019</t>
        </is>
      </c>
      <c r="B2012" s="1" t="n">
        <v>43745</v>
      </c>
      <c r="C2012" s="1" t="n">
        <v>45586</v>
      </c>
      <c r="D2012" t="inlineStr">
        <is>
          <t>VÄSTRA GÖTALANDS LÄN</t>
        </is>
      </c>
      <c r="E2012" t="inlineStr">
        <is>
          <t>ULRICEHAMN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52548-2019</t>
        </is>
      </c>
      <c r="B2013" s="1" t="n">
        <v>43745</v>
      </c>
      <c r="C2013" s="1" t="n">
        <v>45586</v>
      </c>
      <c r="D2013" t="inlineStr">
        <is>
          <t>VÄSTRA GÖTALANDS LÄN</t>
        </is>
      </c>
      <c r="E2013" t="inlineStr">
        <is>
          <t>SVENLJUNGA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54161-2019</t>
        </is>
      </c>
      <c r="B2014" s="1" t="n">
        <v>43745</v>
      </c>
      <c r="C2014" s="1" t="n">
        <v>45586</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52565-2019</t>
        </is>
      </c>
      <c r="B2015" s="1" t="n">
        <v>43745</v>
      </c>
      <c r="C2015" s="1" t="n">
        <v>45586</v>
      </c>
      <c r="D2015" t="inlineStr">
        <is>
          <t>VÄSTRA GÖTALANDS LÄN</t>
        </is>
      </c>
      <c r="E2015" t="inlineStr">
        <is>
          <t>TANUM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54032-2019</t>
        </is>
      </c>
      <c r="B2016" s="1" t="n">
        <v>43745</v>
      </c>
      <c r="C2016" s="1" t="n">
        <v>45586</v>
      </c>
      <c r="D2016" t="inlineStr">
        <is>
          <t>VÄSTRA GÖTALANDS LÄN</t>
        </is>
      </c>
      <c r="E2016" t="inlineStr">
        <is>
          <t>ÅMÅL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54157-2019</t>
        </is>
      </c>
      <c r="B2017" s="1" t="n">
        <v>43745</v>
      </c>
      <c r="C2017" s="1" t="n">
        <v>45586</v>
      </c>
      <c r="D2017" t="inlineStr">
        <is>
          <t>VÄSTRA GÖTALANDS LÄN</t>
        </is>
      </c>
      <c r="E2017" t="inlineStr">
        <is>
          <t>TANUM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52916-2019</t>
        </is>
      </c>
      <c r="B2018" s="1" t="n">
        <v>43746</v>
      </c>
      <c r="C2018" s="1" t="n">
        <v>45586</v>
      </c>
      <c r="D2018" t="inlineStr">
        <is>
          <t>VÄSTRA GÖTALANDS LÄN</t>
        </is>
      </c>
      <c r="E2018" t="inlineStr">
        <is>
          <t>VÄNERSBORG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52899-2019</t>
        </is>
      </c>
      <c r="B2019" s="1" t="n">
        <v>43746</v>
      </c>
      <c r="C2019" s="1" t="n">
        <v>45586</v>
      </c>
      <c r="D2019" t="inlineStr">
        <is>
          <t>VÄSTRA GÖTALANDS LÄN</t>
        </is>
      </c>
      <c r="E2019" t="inlineStr">
        <is>
          <t>TROLLHÄTTAN</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52807-2019</t>
        </is>
      </c>
      <c r="B2020" s="1" t="n">
        <v>43746</v>
      </c>
      <c r="C2020" s="1" t="n">
        <v>45586</v>
      </c>
      <c r="D2020" t="inlineStr">
        <is>
          <t>VÄSTRA GÖTALANDS LÄN</t>
        </is>
      </c>
      <c r="E2020" t="inlineStr">
        <is>
          <t>VARA</t>
        </is>
      </c>
      <c r="F2020" t="inlineStr">
        <is>
          <t>Kyrkan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52891-2019</t>
        </is>
      </c>
      <c r="B2021" s="1" t="n">
        <v>43746</v>
      </c>
      <c r="C2021" s="1" t="n">
        <v>45586</v>
      </c>
      <c r="D2021" t="inlineStr">
        <is>
          <t>VÄSTRA GÖTALANDS LÄN</t>
        </is>
      </c>
      <c r="E2021" t="inlineStr">
        <is>
          <t>ESSUNGA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52911-2019</t>
        </is>
      </c>
      <c r="B2022" s="1" t="n">
        <v>43746</v>
      </c>
      <c r="C2022" s="1" t="n">
        <v>45586</v>
      </c>
      <c r="D2022" t="inlineStr">
        <is>
          <t>VÄSTRA GÖTALANDS LÄN</t>
        </is>
      </c>
      <c r="E2022" t="inlineStr">
        <is>
          <t>VÄNERSBORG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52906-2019</t>
        </is>
      </c>
      <c r="B2023" s="1" t="n">
        <v>43746</v>
      </c>
      <c r="C2023" s="1" t="n">
        <v>45586</v>
      </c>
      <c r="D2023" t="inlineStr">
        <is>
          <t>VÄSTRA GÖTALANDS LÄN</t>
        </is>
      </c>
      <c r="E2023" t="inlineStr">
        <is>
          <t>VÅRGÅRDA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52912-2019</t>
        </is>
      </c>
      <c r="B2024" s="1" t="n">
        <v>43746</v>
      </c>
      <c r="C2024" s="1" t="n">
        <v>45586</v>
      </c>
      <c r="D2024" t="inlineStr">
        <is>
          <t>VÄSTRA GÖTALANDS LÄN</t>
        </is>
      </c>
      <c r="E2024" t="inlineStr">
        <is>
          <t>VÄNERSBORG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52946-2019</t>
        </is>
      </c>
      <c r="B2025" s="1" t="n">
        <v>43747</v>
      </c>
      <c r="C2025" s="1" t="n">
        <v>45586</v>
      </c>
      <c r="D2025" t="inlineStr">
        <is>
          <t>VÄSTRA GÖTALANDS LÄN</t>
        </is>
      </c>
      <c r="E2025" t="inlineStr">
        <is>
          <t>FALKÖPING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53042-2019</t>
        </is>
      </c>
      <c r="B2026" s="1" t="n">
        <v>43747</v>
      </c>
      <c r="C2026" s="1" t="n">
        <v>45586</v>
      </c>
      <c r="D2026" t="inlineStr">
        <is>
          <t>VÄSTRA GÖTALANDS LÄN</t>
        </is>
      </c>
      <c r="E2026" t="inlineStr">
        <is>
          <t>TRANEMO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53025-2019</t>
        </is>
      </c>
      <c r="B2027" s="1" t="n">
        <v>43747</v>
      </c>
      <c r="C2027" s="1" t="n">
        <v>45586</v>
      </c>
      <c r="D2027" t="inlineStr">
        <is>
          <t>VÄSTRA GÖTALANDS LÄN</t>
        </is>
      </c>
      <c r="E2027" t="inlineStr">
        <is>
          <t>SKÖVDE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53149-2019</t>
        </is>
      </c>
      <c r="B2028" s="1" t="n">
        <v>43747</v>
      </c>
      <c r="C2028" s="1" t="n">
        <v>45586</v>
      </c>
      <c r="D2028" t="inlineStr">
        <is>
          <t>VÄSTRA GÖTALANDS LÄN</t>
        </is>
      </c>
      <c r="E2028" t="inlineStr">
        <is>
          <t>SKÖVDE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53091-2019</t>
        </is>
      </c>
      <c r="B2029" s="1" t="n">
        <v>43747</v>
      </c>
      <c r="C2029" s="1" t="n">
        <v>45586</v>
      </c>
      <c r="D2029" t="inlineStr">
        <is>
          <t>VÄSTRA GÖTALANDS LÄN</t>
        </is>
      </c>
      <c r="E2029" t="inlineStr">
        <is>
          <t>SKARA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53102-2019</t>
        </is>
      </c>
      <c r="B2030" s="1" t="n">
        <v>43747</v>
      </c>
      <c r="C2030" s="1" t="n">
        <v>45586</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54545-2019</t>
        </is>
      </c>
      <c r="B2031" s="1" t="n">
        <v>43747</v>
      </c>
      <c r="C2031" s="1" t="n">
        <v>45586</v>
      </c>
      <c r="D2031" t="inlineStr">
        <is>
          <t>VÄSTRA GÖTALANDS LÄN</t>
        </is>
      </c>
      <c r="E2031" t="inlineStr">
        <is>
          <t>ÅMÅL</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53045-2019</t>
        </is>
      </c>
      <c r="B2032" s="1" t="n">
        <v>43747</v>
      </c>
      <c r="C2032" s="1" t="n">
        <v>45586</v>
      </c>
      <c r="D2032" t="inlineStr">
        <is>
          <t>VÄSTRA GÖTALANDS LÄN</t>
        </is>
      </c>
      <c r="E2032" t="inlineStr">
        <is>
          <t>SKARA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54538-2019</t>
        </is>
      </c>
      <c r="B2033" s="1" t="n">
        <v>43747</v>
      </c>
      <c r="C2033" s="1" t="n">
        <v>45586</v>
      </c>
      <c r="D2033" t="inlineStr">
        <is>
          <t>VÄSTRA GÖTALANDS LÄN</t>
        </is>
      </c>
      <c r="E2033" t="inlineStr">
        <is>
          <t>ÅMÅL</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53106-2019</t>
        </is>
      </c>
      <c r="B2034" s="1" t="n">
        <v>43747</v>
      </c>
      <c r="C2034" s="1" t="n">
        <v>45586</v>
      </c>
      <c r="D2034" t="inlineStr">
        <is>
          <t>VÄSTRA GÖTALANDS LÄN</t>
        </is>
      </c>
      <c r="E2034" t="inlineStr">
        <is>
          <t>TIBRO</t>
        </is>
      </c>
      <c r="G2034" t="n">
        <v>0.8</v>
      </c>
      <c r="H2034" t="n">
        <v>0</v>
      </c>
      <c r="I2034" t="n">
        <v>0</v>
      </c>
      <c r="J2034" t="n">
        <v>0</v>
      </c>
      <c r="K2034" t="n">
        <v>0</v>
      </c>
      <c r="L2034" t="n">
        <v>0</v>
      </c>
      <c r="M2034" t="n">
        <v>0</v>
      </c>
      <c r="N2034" t="n">
        <v>0</v>
      </c>
      <c r="O2034" t="n">
        <v>0</v>
      </c>
      <c r="P2034" t="n">
        <v>0</v>
      </c>
      <c r="Q2034" t="n">
        <v>0</v>
      </c>
      <c r="R2034" s="2" t="inlineStr"/>
      <c r="U2034">
        <f>HYPERLINK("https://klasma.github.io/Logging_1472/knärot/A 53106-2019 karta knärot.png", "A 53106-2019")</f>
        <v/>
      </c>
      <c r="V2034">
        <f>HYPERLINK("https://klasma.github.io/Logging_1472/klagomål/A 53106-2019 FSC-klagomål.docx", "A 53106-2019")</f>
        <v/>
      </c>
      <c r="W2034">
        <f>HYPERLINK("https://klasma.github.io/Logging_1472/klagomålsmail/A 53106-2019 FSC-klagomål mail.docx", "A 53106-2019")</f>
        <v/>
      </c>
      <c r="X2034">
        <f>HYPERLINK("https://klasma.github.io/Logging_1472/tillsyn/A 53106-2019 tillsynsbegäran.docx", "A 53106-2019")</f>
        <v/>
      </c>
      <c r="Y2034">
        <f>HYPERLINK("https://klasma.github.io/Logging_1472/tillsynsmail/A 53106-2019 tillsynsbegäran mail.docx", "A 53106-2019")</f>
        <v/>
      </c>
    </row>
    <row r="2035" ht="15" customHeight="1">
      <c r="A2035" t="inlineStr">
        <is>
          <t>A 53043-2019</t>
        </is>
      </c>
      <c r="B2035" s="1" t="n">
        <v>43747</v>
      </c>
      <c r="C2035" s="1" t="n">
        <v>45586</v>
      </c>
      <c r="D2035" t="inlineStr">
        <is>
          <t>VÄSTRA GÖTALANDS LÄN</t>
        </is>
      </c>
      <c r="E2035" t="inlineStr">
        <is>
          <t>DALS-ED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53259-2019</t>
        </is>
      </c>
      <c r="B2036" s="1" t="n">
        <v>43748</v>
      </c>
      <c r="C2036" s="1" t="n">
        <v>45586</v>
      </c>
      <c r="D2036" t="inlineStr">
        <is>
          <t>VÄSTRA GÖTALANDS LÄN</t>
        </is>
      </c>
      <c r="E2036" t="inlineStr">
        <is>
          <t>BOLLEBYGD</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53328-2019</t>
        </is>
      </c>
      <c r="B2037" s="1" t="n">
        <v>43748</v>
      </c>
      <c r="C2037" s="1" t="n">
        <v>45586</v>
      </c>
      <c r="D2037" t="inlineStr">
        <is>
          <t>VÄSTRA GÖTALANDS LÄN</t>
        </is>
      </c>
      <c r="E2037" t="inlineStr">
        <is>
          <t>GÖTENE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53267-2019</t>
        </is>
      </c>
      <c r="B2038" s="1" t="n">
        <v>43748</v>
      </c>
      <c r="C2038" s="1" t="n">
        <v>45586</v>
      </c>
      <c r="D2038" t="inlineStr">
        <is>
          <t>VÄSTRA GÖTALANDS LÄN</t>
        </is>
      </c>
      <c r="E2038" t="inlineStr">
        <is>
          <t>BORÅS</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53293-2019</t>
        </is>
      </c>
      <c r="B2039" s="1" t="n">
        <v>43748</v>
      </c>
      <c r="C2039" s="1" t="n">
        <v>45586</v>
      </c>
      <c r="D2039" t="inlineStr">
        <is>
          <t>VÄSTRA GÖTALANDS LÄN</t>
        </is>
      </c>
      <c r="E2039" t="inlineStr">
        <is>
          <t>ULRICEHAMN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53463-2019</t>
        </is>
      </c>
      <c r="B2040" s="1" t="n">
        <v>43748</v>
      </c>
      <c r="C2040" s="1" t="n">
        <v>45586</v>
      </c>
      <c r="D2040" t="inlineStr">
        <is>
          <t>VÄSTRA GÖTALANDS LÄN</t>
        </is>
      </c>
      <c r="E2040" t="inlineStr">
        <is>
          <t>FÄRGELANDA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54619-2019</t>
        </is>
      </c>
      <c r="B2041" s="1" t="n">
        <v>43748</v>
      </c>
      <c r="C2041" s="1" t="n">
        <v>45586</v>
      </c>
      <c r="D2041" t="inlineStr">
        <is>
          <t>VÄSTRA GÖTALANDS LÄN</t>
        </is>
      </c>
      <c r="E2041" t="inlineStr">
        <is>
          <t>TRANEMO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54647-2019</t>
        </is>
      </c>
      <c r="B2042" s="1" t="n">
        <v>43748</v>
      </c>
      <c r="C2042" s="1" t="n">
        <v>45586</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53512-2019</t>
        </is>
      </c>
      <c r="B2043" s="1" t="n">
        <v>43749</v>
      </c>
      <c r="C2043" s="1" t="n">
        <v>45586</v>
      </c>
      <c r="D2043" t="inlineStr">
        <is>
          <t>VÄSTRA GÖTALANDS LÄN</t>
        </is>
      </c>
      <c r="E2043" t="inlineStr">
        <is>
          <t>TANUM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53577-2019</t>
        </is>
      </c>
      <c r="B2044" s="1" t="n">
        <v>43749</v>
      </c>
      <c r="C2044" s="1" t="n">
        <v>45586</v>
      </c>
      <c r="D2044" t="inlineStr">
        <is>
          <t>VÄSTRA GÖTALANDS LÄN</t>
        </is>
      </c>
      <c r="E2044" t="inlineStr">
        <is>
          <t>TANUM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53808-2019</t>
        </is>
      </c>
      <c r="B2045" s="1" t="n">
        <v>43751</v>
      </c>
      <c r="C2045" s="1" t="n">
        <v>45586</v>
      </c>
      <c r="D2045" t="inlineStr">
        <is>
          <t>VÄSTRA GÖTALANDS LÄN</t>
        </is>
      </c>
      <c r="E2045" t="inlineStr">
        <is>
          <t>VÄNERSBORG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53997-2019</t>
        </is>
      </c>
      <c r="B2046" s="1" t="n">
        <v>43752</v>
      </c>
      <c r="C2046" s="1" t="n">
        <v>45586</v>
      </c>
      <c r="D2046" t="inlineStr">
        <is>
          <t>VÄSTRA GÖTALANDS LÄN</t>
        </is>
      </c>
      <c r="E2046" t="inlineStr">
        <is>
          <t>MARK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54109-2019</t>
        </is>
      </c>
      <c r="B2047" s="1" t="n">
        <v>43752</v>
      </c>
      <c r="C2047" s="1" t="n">
        <v>45586</v>
      </c>
      <c r="D2047" t="inlineStr">
        <is>
          <t>VÄSTRA GÖTALANDS LÄN</t>
        </is>
      </c>
      <c r="E2047" t="inlineStr">
        <is>
          <t>TIDAHOLM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55133-2019</t>
        </is>
      </c>
      <c r="B2048" s="1" t="n">
        <v>43752</v>
      </c>
      <c r="C2048" s="1" t="n">
        <v>45586</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55149-2019</t>
        </is>
      </c>
      <c r="B2049" s="1" t="n">
        <v>43752</v>
      </c>
      <c r="C2049" s="1" t="n">
        <v>45586</v>
      </c>
      <c r="D2049" t="inlineStr">
        <is>
          <t>VÄSTRA GÖTALANDS LÄN</t>
        </is>
      </c>
      <c r="E2049" t="inlineStr">
        <is>
          <t>LYSEKIL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54230-2019</t>
        </is>
      </c>
      <c r="B2050" s="1" t="n">
        <v>43753</v>
      </c>
      <c r="C2050" s="1" t="n">
        <v>45586</v>
      </c>
      <c r="D2050" t="inlineStr">
        <is>
          <t>VÄSTRA GÖTALANDS LÄN</t>
        </is>
      </c>
      <c r="E2050" t="inlineStr">
        <is>
          <t>TÖREBODA</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54299-2019</t>
        </is>
      </c>
      <c r="B2051" s="1" t="n">
        <v>43753</v>
      </c>
      <c r="C2051" s="1" t="n">
        <v>45586</v>
      </c>
      <c r="D2051" t="inlineStr">
        <is>
          <t>VÄSTRA GÖTALANDS LÄN</t>
        </is>
      </c>
      <c r="E2051" t="inlineStr">
        <is>
          <t>TJÖRN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54446-2019</t>
        </is>
      </c>
      <c r="B2052" s="1" t="n">
        <v>43754</v>
      </c>
      <c r="C2052" s="1" t="n">
        <v>45586</v>
      </c>
      <c r="D2052" t="inlineStr">
        <is>
          <t>VÄSTRA GÖTALANDS LÄN</t>
        </is>
      </c>
      <c r="E2052" t="inlineStr">
        <is>
          <t>TIDAHOLM</t>
        </is>
      </c>
      <c r="F2052" t="inlineStr">
        <is>
          <t>Kyrkan</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54488-2019</t>
        </is>
      </c>
      <c r="B2053" s="1" t="n">
        <v>43754</v>
      </c>
      <c r="C2053" s="1" t="n">
        <v>45586</v>
      </c>
      <c r="D2053" t="inlineStr">
        <is>
          <t>VÄSTRA GÖTALANDS LÄN</t>
        </is>
      </c>
      <c r="E2053" t="inlineStr">
        <is>
          <t>TROLLHÄTTAN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54531-2019</t>
        </is>
      </c>
      <c r="B2054" s="1" t="n">
        <v>43754</v>
      </c>
      <c r="C2054" s="1" t="n">
        <v>45586</v>
      </c>
      <c r="D2054" t="inlineStr">
        <is>
          <t>VÄSTRA GÖTALANDS LÄN</t>
        </is>
      </c>
      <c r="E2054" t="inlineStr">
        <is>
          <t>TANUM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54540-2019</t>
        </is>
      </c>
      <c r="B2055" s="1" t="n">
        <v>43754</v>
      </c>
      <c r="C2055" s="1" t="n">
        <v>45586</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54487-2019</t>
        </is>
      </c>
      <c r="B2056" s="1" t="n">
        <v>43754</v>
      </c>
      <c r="C2056" s="1" t="n">
        <v>45586</v>
      </c>
      <c r="D2056" t="inlineStr">
        <is>
          <t>VÄSTRA GÖTALANDS LÄN</t>
        </is>
      </c>
      <c r="E2056" t="inlineStr">
        <is>
          <t>TROLLHÄTTAN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54841-2019</t>
        </is>
      </c>
      <c r="B2057" s="1" t="n">
        <v>43755</v>
      </c>
      <c r="C2057" s="1" t="n">
        <v>45586</v>
      </c>
      <c r="D2057" t="inlineStr">
        <is>
          <t>VÄSTRA GÖTALANDS LÄN</t>
        </is>
      </c>
      <c r="E2057" t="inlineStr">
        <is>
          <t>MARK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54850-2019</t>
        </is>
      </c>
      <c r="B2058" s="1" t="n">
        <v>43755</v>
      </c>
      <c r="C2058" s="1" t="n">
        <v>45586</v>
      </c>
      <c r="D2058" t="inlineStr">
        <is>
          <t>VÄSTRA GÖTALANDS LÄN</t>
        </is>
      </c>
      <c r="E2058" t="inlineStr">
        <is>
          <t>MARK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56078-2019</t>
        </is>
      </c>
      <c r="B2059" s="1" t="n">
        <v>43755</v>
      </c>
      <c r="C2059" s="1" t="n">
        <v>45586</v>
      </c>
      <c r="D2059" t="inlineStr">
        <is>
          <t>VÄSTRA GÖTALANDS LÄN</t>
        </is>
      </c>
      <c r="E2059" t="inlineStr">
        <is>
          <t>SOTENÄS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56086-2019</t>
        </is>
      </c>
      <c r="B2060" s="1" t="n">
        <v>43755</v>
      </c>
      <c r="C2060" s="1" t="n">
        <v>45586</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56123-2019</t>
        </is>
      </c>
      <c r="B2061" s="1" t="n">
        <v>43755</v>
      </c>
      <c r="C2061" s="1" t="n">
        <v>45586</v>
      </c>
      <c r="D2061" t="inlineStr">
        <is>
          <t>VÄSTRA GÖTALANDS LÄN</t>
        </is>
      </c>
      <c r="E2061" t="inlineStr">
        <is>
          <t>VARA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55636-2019</t>
        </is>
      </c>
      <c r="B2062" s="1" t="n">
        <v>43755</v>
      </c>
      <c r="C2062" s="1" t="n">
        <v>45586</v>
      </c>
      <c r="D2062" t="inlineStr">
        <is>
          <t>VÄSTRA GÖTALANDS LÄN</t>
        </is>
      </c>
      <c r="E2062" t="inlineStr">
        <is>
          <t>SOTENÄS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55224-2019</t>
        </is>
      </c>
      <c r="B2063" s="1" t="n">
        <v>43756</v>
      </c>
      <c r="C2063" s="1" t="n">
        <v>45586</v>
      </c>
      <c r="D2063" t="inlineStr">
        <is>
          <t>VÄSTRA GÖTALANDS LÄN</t>
        </is>
      </c>
      <c r="E2063" t="inlineStr">
        <is>
          <t>TROLLHÄTTAN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55315-2019</t>
        </is>
      </c>
      <c r="B2064" s="1" t="n">
        <v>43756</v>
      </c>
      <c r="C2064" s="1" t="n">
        <v>45586</v>
      </c>
      <c r="D2064" t="inlineStr">
        <is>
          <t>VÄSTRA GÖTALANDS LÄN</t>
        </is>
      </c>
      <c r="E2064" t="inlineStr">
        <is>
          <t>UDDEVALLA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55226-2019</t>
        </is>
      </c>
      <c r="B2065" s="1" t="n">
        <v>43756</v>
      </c>
      <c r="C2065" s="1" t="n">
        <v>45586</v>
      </c>
      <c r="D2065" t="inlineStr">
        <is>
          <t>VÄSTRA GÖTALANDS LÄN</t>
        </is>
      </c>
      <c r="E2065" t="inlineStr">
        <is>
          <t>TROLLHÄTTAN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55285-2019</t>
        </is>
      </c>
      <c r="B2066" s="1" t="n">
        <v>43756</v>
      </c>
      <c r="C2066" s="1" t="n">
        <v>45586</v>
      </c>
      <c r="D2066" t="inlineStr">
        <is>
          <t>VÄSTRA GÖTALANDS LÄN</t>
        </is>
      </c>
      <c r="E2066" t="inlineStr">
        <is>
          <t>TÖREBODA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55299-2019</t>
        </is>
      </c>
      <c r="B2067" s="1" t="n">
        <v>43756</v>
      </c>
      <c r="C2067" s="1" t="n">
        <v>45586</v>
      </c>
      <c r="D2067" t="inlineStr">
        <is>
          <t>VÄSTRA GÖTALANDS LÄN</t>
        </is>
      </c>
      <c r="E2067" t="inlineStr">
        <is>
          <t>BORÅS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55306-2019</t>
        </is>
      </c>
      <c r="B2068" s="1" t="n">
        <v>43756</v>
      </c>
      <c r="C2068" s="1" t="n">
        <v>45586</v>
      </c>
      <c r="D2068" t="inlineStr">
        <is>
          <t>VÄSTRA GÖTALANDS LÄN</t>
        </is>
      </c>
      <c r="E2068" t="inlineStr">
        <is>
          <t>TÖREBODA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55094-2019</t>
        </is>
      </c>
      <c r="B2069" s="1" t="n">
        <v>43756</v>
      </c>
      <c r="C2069" s="1" t="n">
        <v>45586</v>
      </c>
      <c r="D2069" t="inlineStr">
        <is>
          <t>VÄSTRA GÖTALANDS LÄN</t>
        </is>
      </c>
      <c r="E2069" t="inlineStr">
        <is>
          <t>SKÖVDE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55163-2019</t>
        </is>
      </c>
      <c r="B2070" s="1" t="n">
        <v>43756</v>
      </c>
      <c r="C2070" s="1" t="n">
        <v>45586</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55126-2019</t>
        </is>
      </c>
      <c r="B2071" s="1" t="n">
        <v>43756</v>
      </c>
      <c r="C2071" s="1" t="n">
        <v>45586</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56602-2019</t>
        </is>
      </c>
      <c r="B2072" s="1" t="n">
        <v>43757</v>
      </c>
      <c r="C2072" s="1" t="n">
        <v>45586</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55406-2019</t>
        </is>
      </c>
      <c r="B2073" s="1" t="n">
        <v>43758</v>
      </c>
      <c r="C2073" s="1" t="n">
        <v>45586</v>
      </c>
      <c r="D2073" t="inlineStr">
        <is>
          <t>VÄSTRA GÖTALANDS LÄN</t>
        </is>
      </c>
      <c r="E2073" t="inlineStr">
        <is>
          <t>SVENLJUNGA</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55413-2019</t>
        </is>
      </c>
      <c r="B2074" s="1" t="n">
        <v>43758</v>
      </c>
      <c r="C2074" s="1" t="n">
        <v>45586</v>
      </c>
      <c r="D2074" t="inlineStr">
        <is>
          <t>VÄSTRA GÖTALANDS LÄN</t>
        </is>
      </c>
      <c r="E2074" t="inlineStr">
        <is>
          <t>MARK</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55402-2019</t>
        </is>
      </c>
      <c r="B2075" s="1" t="n">
        <v>43758</v>
      </c>
      <c r="C2075" s="1" t="n">
        <v>45586</v>
      </c>
      <c r="D2075" t="inlineStr">
        <is>
          <t>VÄSTRA GÖTALANDS LÄN</t>
        </is>
      </c>
      <c r="E2075" t="inlineStr">
        <is>
          <t>BORÅS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55760-2019</t>
        </is>
      </c>
      <c r="B2076" s="1" t="n">
        <v>43759</v>
      </c>
      <c r="C2076" s="1" t="n">
        <v>45586</v>
      </c>
      <c r="D2076" t="inlineStr">
        <is>
          <t>VÄSTRA GÖTALANDS LÄN</t>
        </is>
      </c>
      <c r="E2076" t="inlineStr">
        <is>
          <t>VÄNERSBORG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55482-2019</t>
        </is>
      </c>
      <c r="B2077" s="1" t="n">
        <v>43759</v>
      </c>
      <c r="C2077" s="1" t="n">
        <v>45586</v>
      </c>
      <c r="D2077" t="inlineStr">
        <is>
          <t>VÄSTRA GÖTALANDS LÄN</t>
        </is>
      </c>
      <c r="E2077" t="inlineStr">
        <is>
          <t>TRANEMO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55526-2019</t>
        </is>
      </c>
      <c r="B2078" s="1" t="n">
        <v>43759</v>
      </c>
      <c r="C2078" s="1" t="n">
        <v>45586</v>
      </c>
      <c r="D2078" t="inlineStr">
        <is>
          <t>VÄSTRA GÖTALANDS LÄN</t>
        </is>
      </c>
      <c r="E2078" t="inlineStr">
        <is>
          <t>VÅRGÅRDA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55557-2019</t>
        </is>
      </c>
      <c r="B2079" s="1" t="n">
        <v>43759</v>
      </c>
      <c r="C2079" s="1" t="n">
        <v>45586</v>
      </c>
      <c r="D2079" t="inlineStr">
        <is>
          <t>VÄSTRA GÖTALANDS LÄN</t>
        </is>
      </c>
      <c r="E2079" t="inlineStr">
        <is>
          <t>VÅRGÅRDA</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55570-2019</t>
        </is>
      </c>
      <c r="B2080" s="1" t="n">
        <v>43760</v>
      </c>
      <c r="C2080" s="1" t="n">
        <v>45586</v>
      </c>
      <c r="D2080" t="inlineStr">
        <is>
          <t>VÄSTRA GÖTALANDS LÄN</t>
        </is>
      </c>
      <c r="E2080" t="inlineStr">
        <is>
          <t>ÅMÅL</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57300-2019</t>
        </is>
      </c>
      <c r="B2081" s="1" t="n">
        <v>43760</v>
      </c>
      <c r="C2081" s="1" t="n">
        <v>45586</v>
      </c>
      <c r="D2081" t="inlineStr">
        <is>
          <t>VÄSTRA GÖTALANDS LÄN</t>
        </is>
      </c>
      <c r="E2081" t="inlineStr">
        <is>
          <t>GÖTENE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55579-2019</t>
        </is>
      </c>
      <c r="B2082" s="1" t="n">
        <v>43760</v>
      </c>
      <c r="C2082" s="1" t="n">
        <v>45586</v>
      </c>
      <c r="D2082" t="inlineStr">
        <is>
          <t>VÄSTRA GÖTALANDS LÄN</t>
        </is>
      </c>
      <c r="E2082" t="inlineStr">
        <is>
          <t>TRANEMO</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55639-2019</t>
        </is>
      </c>
      <c r="B2083" s="1" t="n">
        <v>43760</v>
      </c>
      <c r="C2083" s="1" t="n">
        <v>45586</v>
      </c>
      <c r="D2083" t="inlineStr">
        <is>
          <t>VÄSTRA GÖTALANDS LÄN</t>
        </is>
      </c>
      <c r="E2083" t="inlineStr">
        <is>
          <t>FÄRGELANDA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55454-2019</t>
        </is>
      </c>
      <c r="B2084" s="1" t="n">
        <v>43760</v>
      </c>
      <c r="C2084" s="1" t="n">
        <v>45586</v>
      </c>
      <c r="D2084" t="inlineStr">
        <is>
          <t>VÄSTRA GÖTALANDS LÄN</t>
        </is>
      </c>
      <c r="E2084" t="inlineStr">
        <is>
          <t>SVENLJUNGA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55836-2019</t>
        </is>
      </c>
      <c r="B2085" s="1" t="n">
        <v>43761</v>
      </c>
      <c r="C2085" s="1" t="n">
        <v>45586</v>
      </c>
      <c r="D2085" t="inlineStr">
        <is>
          <t>VÄSTRA GÖTALANDS LÄN</t>
        </is>
      </c>
      <c r="E2085" t="inlineStr">
        <is>
          <t>TRANEMO</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55907-2019</t>
        </is>
      </c>
      <c r="B2086" s="1" t="n">
        <v>43761</v>
      </c>
      <c r="C2086" s="1" t="n">
        <v>45586</v>
      </c>
      <c r="D2086" t="inlineStr">
        <is>
          <t>VÄSTRA GÖTALANDS LÄN</t>
        </is>
      </c>
      <c r="E2086" t="inlineStr">
        <is>
          <t>SVENLJUNGA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56128-2019</t>
        </is>
      </c>
      <c r="B2087" s="1" t="n">
        <v>43761</v>
      </c>
      <c r="C2087" s="1" t="n">
        <v>45586</v>
      </c>
      <c r="D2087" t="inlineStr">
        <is>
          <t>VÄSTRA GÖTALANDS LÄN</t>
        </is>
      </c>
      <c r="E2087" t="inlineStr">
        <is>
          <t>ULRICEHAMN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56134-2019</t>
        </is>
      </c>
      <c r="B2088" s="1" t="n">
        <v>43761</v>
      </c>
      <c r="C2088" s="1" t="n">
        <v>45586</v>
      </c>
      <c r="D2088" t="inlineStr">
        <is>
          <t>VÄSTRA GÖTALANDS LÄN</t>
        </is>
      </c>
      <c r="E2088" t="inlineStr">
        <is>
          <t>VARA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56402-2019</t>
        </is>
      </c>
      <c r="B2089" s="1" t="n">
        <v>43762</v>
      </c>
      <c r="C2089" s="1" t="n">
        <v>45586</v>
      </c>
      <c r="D2089" t="inlineStr">
        <is>
          <t>VÄSTRA GÖTALANDS LÄN</t>
        </is>
      </c>
      <c r="E2089" t="inlineStr">
        <is>
          <t>FALKÖPING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56416-2019</t>
        </is>
      </c>
      <c r="B2090" s="1" t="n">
        <v>43762</v>
      </c>
      <c r="C2090" s="1" t="n">
        <v>45586</v>
      </c>
      <c r="D2090" t="inlineStr">
        <is>
          <t>VÄSTRA GÖTALANDS LÄN</t>
        </is>
      </c>
      <c r="E2090" t="inlineStr">
        <is>
          <t>FALKÖPING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56304-2019</t>
        </is>
      </c>
      <c r="B2091" s="1" t="n">
        <v>43762</v>
      </c>
      <c r="C2091" s="1" t="n">
        <v>45586</v>
      </c>
      <c r="D2091" t="inlineStr">
        <is>
          <t>VÄSTRA GÖTALANDS LÄN</t>
        </is>
      </c>
      <c r="E2091" t="inlineStr">
        <is>
          <t>TIDAHOLM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56406-2019</t>
        </is>
      </c>
      <c r="B2092" s="1" t="n">
        <v>43762</v>
      </c>
      <c r="C2092" s="1" t="n">
        <v>45586</v>
      </c>
      <c r="D2092" t="inlineStr">
        <is>
          <t>VÄSTRA GÖTALANDS LÄN</t>
        </is>
      </c>
      <c r="E2092" t="inlineStr">
        <is>
          <t>FALKÖPING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56411-2019</t>
        </is>
      </c>
      <c r="B2093" s="1" t="n">
        <v>43762</v>
      </c>
      <c r="C2093" s="1" t="n">
        <v>45586</v>
      </c>
      <c r="D2093" t="inlineStr">
        <is>
          <t>VÄSTRA GÖTALANDS LÄN</t>
        </is>
      </c>
      <c r="E2093" t="inlineStr">
        <is>
          <t>FALKÖPING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56219-2019</t>
        </is>
      </c>
      <c r="B2094" s="1" t="n">
        <v>43762</v>
      </c>
      <c r="C2094" s="1" t="n">
        <v>45586</v>
      </c>
      <c r="D2094" t="inlineStr">
        <is>
          <t>VÄSTRA GÖTALANDS LÄN</t>
        </is>
      </c>
      <c r="E2094" t="inlineStr">
        <is>
          <t>SVENLJUNGA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56317-2019</t>
        </is>
      </c>
      <c r="B2095" s="1" t="n">
        <v>43762</v>
      </c>
      <c r="C2095" s="1" t="n">
        <v>45586</v>
      </c>
      <c r="D2095" t="inlineStr">
        <is>
          <t>VÄSTRA GÖTALANDS LÄN</t>
        </is>
      </c>
      <c r="E2095" t="inlineStr">
        <is>
          <t>TIDAHOLM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56381-2019</t>
        </is>
      </c>
      <c r="B2096" s="1" t="n">
        <v>43762</v>
      </c>
      <c r="C2096" s="1" t="n">
        <v>45586</v>
      </c>
      <c r="D2096" t="inlineStr">
        <is>
          <t>VÄSTRA GÖTALANDS LÄN</t>
        </is>
      </c>
      <c r="E2096" t="inlineStr">
        <is>
          <t>HJO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56574-2019</t>
        </is>
      </c>
      <c r="B2097" s="1" t="n">
        <v>43762</v>
      </c>
      <c r="C2097" s="1" t="n">
        <v>45586</v>
      </c>
      <c r="D2097" t="inlineStr">
        <is>
          <t>VÄSTRA GÖTALANDS LÄN</t>
        </is>
      </c>
      <c r="E2097" t="inlineStr">
        <is>
          <t>TIBRO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58065-2019</t>
        </is>
      </c>
      <c r="B2098" s="1" t="n">
        <v>43762</v>
      </c>
      <c r="C2098" s="1" t="n">
        <v>45586</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56388-2019</t>
        </is>
      </c>
      <c r="B2099" s="1" t="n">
        <v>43762</v>
      </c>
      <c r="C2099" s="1" t="n">
        <v>45586</v>
      </c>
      <c r="D2099" t="inlineStr">
        <is>
          <t>VÄSTRA GÖTALANDS LÄN</t>
        </is>
      </c>
      <c r="E2099" t="inlineStr">
        <is>
          <t>HJO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56294-2019</t>
        </is>
      </c>
      <c r="B2100" s="1" t="n">
        <v>43762</v>
      </c>
      <c r="C2100" s="1" t="n">
        <v>45586</v>
      </c>
      <c r="D2100" t="inlineStr">
        <is>
          <t>VÄSTRA GÖTALANDS LÄN</t>
        </is>
      </c>
      <c r="E2100" t="inlineStr">
        <is>
          <t>KARLSBORG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58069-2019</t>
        </is>
      </c>
      <c r="B2101" s="1" t="n">
        <v>43762</v>
      </c>
      <c r="C2101" s="1" t="n">
        <v>45586</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56683-2019</t>
        </is>
      </c>
      <c r="B2102" s="1" t="n">
        <v>43763</v>
      </c>
      <c r="C2102" s="1" t="n">
        <v>45586</v>
      </c>
      <c r="D2102" t="inlineStr">
        <is>
          <t>VÄSTRA GÖTALANDS LÄN</t>
        </is>
      </c>
      <c r="E2102" t="inlineStr">
        <is>
          <t>LIDKÖPING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56752-2019</t>
        </is>
      </c>
      <c r="B2103" s="1" t="n">
        <v>43763</v>
      </c>
      <c r="C2103" s="1" t="n">
        <v>45586</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56755-2019</t>
        </is>
      </c>
      <c r="B2104" s="1" t="n">
        <v>43763</v>
      </c>
      <c r="C2104" s="1" t="n">
        <v>45586</v>
      </c>
      <c r="D2104" t="inlineStr">
        <is>
          <t>VÄSTRA GÖTALANDS LÄN</t>
        </is>
      </c>
      <c r="E2104" t="inlineStr">
        <is>
          <t>HERRLJUNGA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56777-2019</t>
        </is>
      </c>
      <c r="B2105" s="1" t="n">
        <v>43763</v>
      </c>
      <c r="C2105" s="1" t="n">
        <v>45586</v>
      </c>
      <c r="D2105" t="inlineStr">
        <is>
          <t>VÄSTRA GÖTALANDS LÄN</t>
        </is>
      </c>
      <c r="E2105" t="inlineStr">
        <is>
          <t>SKÖVDE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56840-2019</t>
        </is>
      </c>
      <c r="B2106" s="1" t="n">
        <v>43765</v>
      </c>
      <c r="C2106" s="1" t="n">
        <v>45586</v>
      </c>
      <c r="D2106" t="inlineStr">
        <is>
          <t>VÄSTRA GÖTALANDS LÄN</t>
        </is>
      </c>
      <c r="E2106" t="inlineStr">
        <is>
          <t>FÄRGELANDA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56846-2019</t>
        </is>
      </c>
      <c r="B2107" s="1" t="n">
        <v>43765</v>
      </c>
      <c r="C2107" s="1" t="n">
        <v>45586</v>
      </c>
      <c r="D2107" t="inlineStr">
        <is>
          <t>VÄSTRA GÖTALANDS LÄN</t>
        </is>
      </c>
      <c r="E2107" t="inlineStr">
        <is>
          <t>ULRICEHAMN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56837-2019</t>
        </is>
      </c>
      <c r="B2108" s="1" t="n">
        <v>43765</v>
      </c>
      <c r="C2108" s="1" t="n">
        <v>45586</v>
      </c>
      <c r="D2108" t="inlineStr">
        <is>
          <t>VÄSTRA GÖTALANDS LÄN</t>
        </is>
      </c>
      <c r="E2108" t="inlineStr">
        <is>
          <t>FÄRGELANDA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56927-2019</t>
        </is>
      </c>
      <c r="B2109" s="1" t="n">
        <v>43766</v>
      </c>
      <c r="C2109" s="1" t="n">
        <v>45586</v>
      </c>
      <c r="D2109" t="inlineStr">
        <is>
          <t>VÄSTRA GÖTALANDS LÄN</t>
        </is>
      </c>
      <c r="E2109" t="inlineStr">
        <is>
          <t>GULLSPÅNG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56944-2019</t>
        </is>
      </c>
      <c r="B2110" s="1" t="n">
        <v>43766</v>
      </c>
      <c r="C2110" s="1" t="n">
        <v>45586</v>
      </c>
      <c r="D2110" t="inlineStr">
        <is>
          <t>VÄSTRA GÖTALANDS LÄN</t>
        </is>
      </c>
      <c r="E2110" t="inlineStr">
        <is>
          <t>BENGTSFORS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56960-2019</t>
        </is>
      </c>
      <c r="B2111" s="1" t="n">
        <v>43766</v>
      </c>
      <c r="C2111" s="1" t="n">
        <v>45586</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56997-2019</t>
        </is>
      </c>
      <c r="B2112" s="1" t="n">
        <v>43766</v>
      </c>
      <c r="C2112" s="1" t="n">
        <v>45586</v>
      </c>
      <c r="D2112" t="inlineStr">
        <is>
          <t>VÄSTRA GÖTALANDS LÄN</t>
        </is>
      </c>
      <c r="E2112" t="inlineStr">
        <is>
          <t>BENGTSFORS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57008-2019</t>
        </is>
      </c>
      <c r="B2113" s="1" t="n">
        <v>43766</v>
      </c>
      <c r="C2113" s="1" t="n">
        <v>45586</v>
      </c>
      <c r="D2113" t="inlineStr">
        <is>
          <t>VÄSTRA GÖTALANDS LÄN</t>
        </is>
      </c>
      <c r="E2113" t="inlineStr">
        <is>
          <t>VÄNERSBORG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56887-2019</t>
        </is>
      </c>
      <c r="B2114" s="1" t="n">
        <v>43766</v>
      </c>
      <c r="C2114" s="1" t="n">
        <v>45586</v>
      </c>
      <c r="D2114" t="inlineStr">
        <is>
          <t>VÄSTRA GÖTALANDS LÄN</t>
        </is>
      </c>
      <c r="E2114" t="inlineStr">
        <is>
          <t>BORÅS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56953-2019</t>
        </is>
      </c>
      <c r="B2115" s="1" t="n">
        <v>43766</v>
      </c>
      <c r="C2115" s="1" t="n">
        <v>45586</v>
      </c>
      <c r="D2115" t="inlineStr">
        <is>
          <t>VÄSTRA GÖTALANDS LÄN</t>
        </is>
      </c>
      <c r="E2115" t="inlineStr">
        <is>
          <t>ALINGSÅS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57036-2019</t>
        </is>
      </c>
      <c r="B2116" s="1" t="n">
        <v>43766</v>
      </c>
      <c r="C2116" s="1" t="n">
        <v>45586</v>
      </c>
      <c r="D2116" t="inlineStr">
        <is>
          <t>VÄSTRA GÖTALANDS LÄN</t>
        </is>
      </c>
      <c r="E2116" t="inlineStr">
        <is>
          <t>LILLA EDET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57094-2019</t>
        </is>
      </c>
      <c r="B2117" s="1" t="n">
        <v>43766</v>
      </c>
      <c r="C2117" s="1" t="n">
        <v>45586</v>
      </c>
      <c r="D2117" t="inlineStr">
        <is>
          <t>VÄSTRA GÖTALANDS LÄN</t>
        </is>
      </c>
      <c r="E2117" t="inlineStr">
        <is>
          <t>BENGTSFORS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57033-2019</t>
        </is>
      </c>
      <c r="B2118" s="1" t="n">
        <v>43766</v>
      </c>
      <c r="C2118" s="1" t="n">
        <v>45586</v>
      </c>
      <c r="D2118" t="inlineStr">
        <is>
          <t>VÄSTRA GÖTALANDS LÄN</t>
        </is>
      </c>
      <c r="E2118" t="inlineStr">
        <is>
          <t>LILLA EDET</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58112-2019</t>
        </is>
      </c>
      <c r="B2119" s="1" t="n">
        <v>43766</v>
      </c>
      <c r="C2119" s="1" t="n">
        <v>45586</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58120-2019</t>
        </is>
      </c>
      <c r="B2120" s="1" t="n">
        <v>43766</v>
      </c>
      <c r="C2120" s="1" t="n">
        <v>45586</v>
      </c>
      <c r="D2120" t="inlineStr">
        <is>
          <t>VÄSTRA GÖTALANDS LÄN</t>
        </is>
      </c>
      <c r="E2120" t="inlineStr">
        <is>
          <t>DALS-ED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57019-2019</t>
        </is>
      </c>
      <c r="B2121" s="1" t="n">
        <v>43766</v>
      </c>
      <c r="C2121" s="1" t="n">
        <v>45586</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56957-2019</t>
        </is>
      </c>
      <c r="B2122" s="1" t="n">
        <v>43766</v>
      </c>
      <c r="C2122" s="1" t="n">
        <v>45586</v>
      </c>
      <c r="D2122" t="inlineStr">
        <is>
          <t>VÄSTRA GÖTALANDS LÄN</t>
        </is>
      </c>
      <c r="E2122" t="inlineStr">
        <is>
          <t>DALS-ED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58451-2019</t>
        </is>
      </c>
      <c r="B2123" s="1" t="n">
        <v>43766</v>
      </c>
      <c r="C2123" s="1" t="n">
        <v>45586</v>
      </c>
      <c r="D2123" t="inlineStr">
        <is>
          <t>VÄSTRA GÖTALANDS LÄN</t>
        </is>
      </c>
      <c r="E2123" t="inlineStr">
        <is>
          <t>GÖTENE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57327-2019</t>
        </is>
      </c>
      <c r="B2124" s="1" t="n">
        <v>43767</v>
      </c>
      <c r="C2124" s="1" t="n">
        <v>45586</v>
      </c>
      <c r="D2124" t="inlineStr">
        <is>
          <t>VÄSTRA GÖTALANDS LÄN</t>
        </is>
      </c>
      <c r="E2124" t="inlineStr">
        <is>
          <t>BORÅS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57225-2019</t>
        </is>
      </c>
      <c r="B2125" s="1" t="n">
        <v>43767</v>
      </c>
      <c r="C2125" s="1" t="n">
        <v>45586</v>
      </c>
      <c r="D2125" t="inlineStr">
        <is>
          <t>VÄSTRA GÖTALANDS LÄN</t>
        </is>
      </c>
      <c r="E2125" t="inlineStr">
        <is>
          <t>BORÅS</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57436-2019</t>
        </is>
      </c>
      <c r="B2126" s="1" t="n">
        <v>43767</v>
      </c>
      <c r="C2126" s="1" t="n">
        <v>45586</v>
      </c>
      <c r="D2126" t="inlineStr">
        <is>
          <t>VÄSTRA GÖTALANDS LÄN</t>
        </is>
      </c>
      <c r="E2126" t="inlineStr">
        <is>
          <t>BENGTSFORS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57192-2019</t>
        </is>
      </c>
      <c r="B2127" s="1" t="n">
        <v>43767</v>
      </c>
      <c r="C2127" s="1" t="n">
        <v>45586</v>
      </c>
      <c r="D2127" t="inlineStr">
        <is>
          <t>VÄSTRA GÖTALANDS LÄN</t>
        </is>
      </c>
      <c r="E2127" t="inlineStr">
        <is>
          <t>SKARA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57528-2019</t>
        </is>
      </c>
      <c r="B2128" s="1" t="n">
        <v>43767</v>
      </c>
      <c r="C2128" s="1" t="n">
        <v>45586</v>
      </c>
      <c r="D2128" t="inlineStr">
        <is>
          <t>VÄSTRA GÖTALANDS LÄN</t>
        </is>
      </c>
      <c r="E2128" t="inlineStr">
        <is>
          <t>TIDAHOLM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57455-2019</t>
        </is>
      </c>
      <c r="B2129" s="1" t="n">
        <v>43767</v>
      </c>
      <c r="C2129" s="1" t="n">
        <v>45586</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c r="U2129">
        <f>HYPERLINK("https://klasma.github.io/Logging_1486/knärot/A 57455-2019 karta knärot.png", "A 57455-2019")</f>
        <v/>
      </c>
      <c r="V2129">
        <f>HYPERLINK("https://klasma.github.io/Logging_1486/klagomål/A 57455-2019 FSC-klagomål.docx", "A 57455-2019")</f>
        <v/>
      </c>
      <c r="W2129">
        <f>HYPERLINK("https://klasma.github.io/Logging_1486/klagomålsmail/A 57455-2019 FSC-klagomål mail.docx", "A 57455-2019")</f>
        <v/>
      </c>
      <c r="X2129">
        <f>HYPERLINK("https://klasma.github.io/Logging_1486/tillsyn/A 57455-2019 tillsynsbegäran.docx", "A 57455-2019")</f>
        <v/>
      </c>
      <c r="Y2129">
        <f>HYPERLINK("https://klasma.github.io/Logging_1486/tillsynsmail/A 57455-2019 tillsynsbegäran mail.docx", "A 57455-2019")</f>
        <v/>
      </c>
    </row>
    <row r="2130" ht="15" customHeight="1">
      <c r="A2130" t="inlineStr">
        <is>
          <t>A 57536-2019</t>
        </is>
      </c>
      <c r="B2130" s="1" t="n">
        <v>43767</v>
      </c>
      <c r="C2130" s="1" t="n">
        <v>45586</v>
      </c>
      <c r="D2130" t="inlineStr">
        <is>
          <t>VÄSTRA GÖTALANDS LÄN</t>
        </is>
      </c>
      <c r="E2130" t="inlineStr">
        <is>
          <t>LERUM</t>
        </is>
      </c>
      <c r="F2130" t="inlineStr">
        <is>
          <t>Kommuner</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57447-2019</t>
        </is>
      </c>
      <c r="B2131" s="1" t="n">
        <v>43767</v>
      </c>
      <c r="C2131" s="1" t="n">
        <v>45586</v>
      </c>
      <c r="D2131" t="inlineStr">
        <is>
          <t>VÄSTRA GÖTALANDS LÄN</t>
        </is>
      </c>
      <c r="E2131" t="inlineStr">
        <is>
          <t>STRÖMSTAD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57678-2019</t>
        </is>
      </c>
      <c r="B2132" s="1" t="n">
        <v>43768</v>
      </c>
      <c r="C2132" s="1" t="n">
        <v>45586</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57778-2019</t>
        </is>
      </c>
      <c r="B2133" s="1" t="n">
        <v>43768</v>
      </c>
      <c r="C2133" s="1" t="n">
        <v>45586</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57789-2019</t>
        </is>
      </c>
      <c r="B2134" s="1" t="n">
        <v>43768</v>
      </c>
      <c r="C2134" s="1" t="n">
        <v>45586</v>
      </c>
      <c r="D2134" t="inlineStr">
        <is>
          <t>VÄSTRA GÖTALANDS LÄN</t>
        </is>
      </c>
      <c r="E2134" t="inlineStr">
        <is>
          <t>TIDAHOLM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58607-2019</t>
        </is>
      </c>
      <c r="B2135" s="1" t="n">
        <v>43768</v>
      </c>
      <c r="C2135" s="1" t="n">
        <v>45586</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57925-2019</t>
        </is>
      </c>
      <c r="B2136" s="1" t="n">
        <v>43769</v>
      </c>
      <c r="C2136" s="1" t="n">
        <v>45586</v>
      </c>
      <c r="D2136" t="inlineStr">
        <is>
          <t>VÄSTRA GÖTALANDS LÄN</t>
        </is>
      </c>
      <c r="E2136" t="inlineStr">
        <is>
          <t>ESSUNGA</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57953-2019</t>
        </is>
      </c>
      <c r="B2137" s="1" t="n">
        <v>43769</v>
      </c>
      <c r="C2137" s="1" t="n">
        <v>45586</v>
      </c>
      <c r="D2137" t="inlineStr">
        <is>
          <t>VÄSTRA GÖTALANDS LÄN</t>
        </is>
      </c>
      <c r="E2137" t="inlineStr">
        <is>
          <t>DALS-ED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57907-2019</t>
        </is>
      </c>
      <c r="B2138" s="1" t="n">
        <v>43769</v>
      </c>
      <c r="C2138" s="1" t="n">
        <v>45586</v>
      </c>
      <c r="D2138" t="inlineStr">
        <is>
          <t>VÄSTRA GÖTALANDS LÄN</t>
        </is>
      </c>
      <c r="E2138" t="inlineStr">
        <is>
          <t>BENGTSFORS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58045-2019</t>
        </is>
      </c>
      <c r="B2139" s="1" t="n">
        <v>43769</v>
      </c>
      <c r="C2139" s="1" t="n">
        <v>45586</v>
      </c>
      <c r="D2139" t="inlineStr">
        <is>
          <t>VÄSTRA GÖTALANDS LÄN</t>
        </is>
      </c>
      <c r="E2139" t="inlineStr">
        <is>
          <t>HERRLJUNGA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57954-2019</t>
        </is>
      </c>
      <c r="B2140" s="1" t="n">
        <v>43769</v>
      </c>
      <c r="C2140" s="1" t="n">
        <v>45586</v>
      </c>
      <c r="D2140" t="inlineStr">
        <is>
          <t>VÄSTRA GÖTALANDS LÄN</t>
        </is>
      </c>
      <c r="E2140" t="inlineStr">
        <is>
          <t>DALS-ED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58931-2019</t>
        </is>
      </c>
      <c r="B2141" s="1" t="n">
        <v>43769</v>
      </c>
      <c r="C2141" s="1" t="n">
        <v>45586</v>
      </c>
      <c r="D2141" t="inlineStr">
        <is>
          <t>VÄSTRA GÖTALANDS LÄN</t>
        </is>
      </c>
      <c r="E2141" t="inlineStr">
        <is>
          <t>MARK</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58048-2019</t>
        </is>
      </c>
      <c r="B2142" s="1" t="n">
        <v>43769</v>
      </c>
      <c r="C2142" s="1" t="n">
        <v>45586</v>
      </c>
      <c r="D2142" t="inlineStr">
        <is>
          <t>VÄSTRA GÖTALANDS LÄN</t>
        </is>
      </c>
      <c r="E2142" t="inlineStr">
        <is>
          <t>HERRLJUNGA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58156-2019</t>
        </is>
      </c>
      <c r="B2143" s="1" t="n">
        <v>43769</v>
      </c>
      <c r="C2143" s="1" t="n">
        <v>45586</v>
      </c>
      <c r="D2143" t="inlineStr">
        <is>
          <t>VÄSTRA GÖTALANDS LÄN</t>
        </is>
      </c>
      <c r="E2143" t="inlineStr">
        <is>
          <t>VARA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59126-2019</t>
        </is>
      </c>
      <c r="B2144" s="1" t="n">
        <v>43769</v>
      </c>
      <c r="C2144" s="1" t="n">
        <v>45586</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59131-2019</t>
        </is>
      </c>
      <c r="B2145" s="1" t="n">
        <v>43769</v>
      </c>
      <c r="C2145" s="1" t="n">
        <v>45586</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58142-2019</t>
        </is>
      </c>
      <c r="B2146" s="1" t="n">
        <v>43769</v>
      </c>
      <c r="C2146" s="1" t="n">
        <v>45586</v>
      </c>
      <c r="D2146" t="inlineStr">
        <is>
          <t>VÄSTRA GÖTALANDS LÄN</t>
        </is>
      </c>
      <c r="E2146" t="inlineStr">
        <is>
          <t>BENGTSFORS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57957-2019</t>
        </is>
      </c>
      <c r="B2147" s="1" t="n">
        <v>43769</v>
      </c>
      <c r="C2147" s="1" t="n">
        <v>45586</v>
      </c>
      <c r="D2147" t="inlineStr">
        <is>
          <t>VÄSTRA GÖTALANDS LÄN</t>
        </is>
      </c>
      <c r="E2147" t="inlineStr">
        <is>
          <t>LIDKÖPING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58009-2019</t>
        </is>
      </c>
      <c r="B2148" s="1" t="n">
        <v>43769</v>
      </c>
      <c r="C2148" s="1" t="n">
        <v>45586</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58160-2019</t>
        </is>
      </c>
      <c r="B2149" s="1" t="n">
        <v>43769</v>
      </c>
      <c r="C2149" s="1" t="n">
        <v>45586</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58992-2019</t>
        </is>
      </c>
      <c r="B2150" s="1" t="n">
        <v>43769</v>
      </c>
      <c r="C2150" s="1" t="n">
        <v>45586</v>
      </c>
      <c r="D2150" t="inlineStr">
        <is>
          <t>VÄSTRA GÖTALANDS LÄN</t>
        </is>
      </c>
      <c r="E2150" t="inlineStr">
        <is>
          <t>FÄRGELANDA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58200-2019</t>
        </is>
      </c>
      <c r="B2151" s="1" t="n">
        <v>43770</v>
      </c>
      <c r="C2151" s="1" t="n">
        <v>45586</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58207-2019</t>
        </is>
      </c>
      <c r="B2152" s="1" t="n">
        <v>43770</v>
      </c>
      <c r="C2152" s="1" t="n">
        <v>45586</v>
      </c>
      <c r="D2152" t="inlineStr">
        <is>
          <t>VÄSTRA GÖTALANDS LÄN</t>
        </is>
      </c>
      <c r="E2152" t="inlineStr">
        <is>
          <t>MARIESTAD</t>
        </is>
      </c>
      <c r="G2152" t="n">
        <v>14.6</v>
      </c>
      <c r="H2152" t="n">
        <v>0</v>
      </c>
      <c r="I2152" t="n">
        <v>0</v>
      </c>
      <c r="J2152" t="n">
        <v>0</v>
      </c>
      <c r="K2152" t="n">
        <v>0</v>
      </c>
      <c r="L2152" t="n">
        <v>0</v>
      </c>
      <c r="M2152" t="n">
        <v>0</v>
      </c>
      <c r="N2152" t="n">
        <v>0</v>
      </c>
      <c r="O2152" t="n">
        <v>0</v>
      </c>
      <c r="P2152" t="n">
        <v>0</v>
      </c>
      <c r="Q2152" t="n">
        <v>0</v>
      </c>
      <c r="R2152" s="2" t="inlineStr"/>
    </row>
    <row r="2153" ht="15" customHeight="1">
      <c r="A2153" t="inlineStr">
        <is>
          <t>A 58223-2019</t>
        </is>
      </c>
      <c r="B2153" s="1" t="n">
        <v>43770</v>
      </c>
      <c r="C2153" s="1" t="n">
        <v>45586</v>
      </c>
      <c r="D2153" t="inlineStr">
        <is>
          <t>VÄSTRA GÖTALANDS LÄN</t>
        </is>
      </c>
      <c r="E2153" t="inlineStr">
        <is>
          <t>MARIESTAD</t>
        </is>
      </c>
      <c r="G2153" t="n">
        <v>21.2</v>
      </c>
      <c r="H2153" t="n">
        <v>0</v>
      </c>
      <c r="I2153" t="n">
        <v>0</v>
      </c>
      <c r="J2153" t="n">
        <v>0</v>
      </c>
      <c r="K2153" t="n">
        <v>0</v>
      </c>
      <c r="L2153" t="n">
        <v>0</v>
      </c>
      <c r="M2153" t="n">
        <v>0</v>
      </c>
      <c r="N2153" t="n">
        <v>0</v>
      </c>
      <c r="O2153" t="n">
        <v>0</v>
      </c>
      <c r="P2153" t="n">
        <v>0</v>
      </c>
      <c r="Q2153" t="n">
        <v>0</v>
      </c>
      <c r="R2153" s="2" t="inlineStr"/>
    </row>
    <row r="2154" ht="15" customHeight="1">
      <c r="A2154" t="inlineStr">
        <is>
          <t>A 59235-2019</t>
        </is>
      </c>
      <c r="B2154" s="1" t="n">
        <v>43770</v>
      </c>
      <c r="C2154" s="1" t="n">
        <v>45586</v>
      </c>
      <c r="D2154" t="inlineStr">
        <is>
          <t>VÄSTRA GÖTALANDS LÄN</t>
        </is>
      </c>
      <c r="E2154" t="inlineStr">
        <is>
          <t>VARA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58213-2019</t>
        </is>
      </c>
      <c r="B2155" s="1" t="n">
        <v>43770</v>
      </c>
      <c r="C2155" s="1" t="n">
        <v>45586</v>
      </c>
      <c r="D2155" t="inlineStr">
        <is>
          <t>VÄSTRA GÖTALANDS LÄN</t>
        </is>
      </c>
      <c r="E2155" t="inlineStr">
        <is>
          <t>MARIESTAD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58179-2019</t>
        </is>
      </c>
      <c r="B2156" s="1" t="n">
        <v>43770</v>
      </c>
      <c r="C2156" s="1" t="n">
        <v>45586</v>
      </c>
      <c r="D2156" t="inlineStr">
        <is>
          <t>VÄSTRA GÖTALANDS LÄN</t>
        </is>
      </c>
      <c r="E2156" t="inlineStr">
        <is>
          <t>BENGTSFORS</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58337-2019</t>
        </is>
      </c>
      <c r="B2157" s="1" t="n">
        <v>43770</v>
      </c>
      <c r="C2157" s="1" t="n">
        <v>45586</v>
      </c>
      <c r="D2157" t="inlineStr">
        <is>
          <t>VÄSTRA GÖTALANDS LÄN</t>
        </is>
      </c>
      <c r="E2157" t="inlineStr">
        <is>
          <t>TRANEMO</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59140-2019</t>
        </is>
      </c>
      <c r="B2158" s="1" t="n">
        <v>43770</v>
      </c>
      <c r="C2158" s="1" t="n">
        <v>45586</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58291-2019</t>
        </is>
      </c>
      <c r="B2159" s="1" t="n">
        <v>43770</v>
      </c>
      <c r="C2159" s="1" t="n">
        <v>45586</v>
      </c>
      <c r="D2159" t="inlineStr">
        <is>
          <t>VÄSTRA GÖTALANDS LÄN</t>
        </is>
      </c>
      <c r="E2159" t="inlineStr">
        <is>
          <t>SKARA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59237-2019</t>
        </is>
      </c>
      <c r="B2160" s="1" t="n">
        <v>43770</v>
      </c>
      <c r="C2160" s="1" t="n">
        <v>45586</v>
      </c>
      <c r="D2160" t="inlineStr">
        <is>
          <t>VÄSTRA GÖTALANDS LÄN</t>
        </is>
      </c>
      <c r="E2160" t="inlineStr">
        <is>
          <t>VARA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58244-2019</t>
        </is>
      </c>
      <c r="B2161" s="1" t="n">
        <v>43770</v>
      </c>
      <c r="C2161" s="1" t="n">
        <v>45586</v>
      </c>
      <c r="D2161" t="inlineStr">
        <is>
          <t>VÄSTRA GÖTALANDS LÄN</t>
        </is>
      </c>
      <c r="E2161" t="inlineStr">
        <is>
          <t>SKARA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58300-2019</t>
        </is>
      </c>
      <c r="B2162" s="1" t="n">
        <v>43770</v>
      </c>
      <c r="C2162" s="1" t="n">
        <v>45586</v>
      </c>
      <c r="D2162" t="inlineStr">
        <is>
          <t>VÄSTRA GÖTALANDS LÄN</t>
        </is>
      </c>
      <c r="E2162" t="inlineStr">
        <is>
          <t>VARA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58315-2019</t>
        </is>
      </c>
      <c r="B2163" s="1" t="n">
        <v>43770</v>
      </c>
      <c r="C2163" s="1" t="n">
        <v>45586</v>
      </c>
      <c r="D2163" t="inlineStr">
        <is>
          <t>VÄSTRA GÖTALANDS LÄN</t>
        </is>
      </c>
      <c r="E2163" t="inlineStr">
        <is>
          <t>MÖLNDAL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58211-2019</t>
        </is>
      </c>
      <c r="B2164" s="1" t="n">
        <v>43770</v>
      </c>
      <c r="C2164" s="1" t="n">
        <v>45586</v>
      </c>
      <c r="D2164" t="inlineStr">
        <is>
          <t>VÄSTRA GÖTALANDS LÄN</t>
        </is>
      </c>
      <c r="E2164" t="inlineStr">
        <is>
          <t>MARIESTAD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58384-2019</t>
        </is>
      </c>
      <c r="B2165" s="1" t="n">
        <v>43771</v>
      </c>
      <c r="C2165" s="1" t="n">
        <v>45586</v>
      </c>
      <c r="D2165" t="inlineStr">
        <is>
          <t>VÄSTRA GÖTALANDS LÄN</t>
        </is>
      </c>
      <c r="E2165" t="inlineStr">
        <is>
          <t>MÖLNDAL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58385-2019</t>
        </is>
      </c>
      <c r="B2166" s="1" t="n">
        <v>43771</v>
      </c>
      <c r="C2166" s="1" t="n">
        <v>45586</v>
      </c>
      <c r="D2166" t="inlineStr">
        <is>
          <t>VÄSTRA GÖTALANDS LÄN</t>
        </is>
      </c>
      <c r="E2166" t="inlineStr">
        <is>
          <t>SVENLJUNGA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58403-2019</t>
        </is>
      </c>
      <c r="B2167" s="1" t="n">
        <v>43772</v>
      </c>
      <c r="C2167" s="1" t="n">
        <v>45586</v>
      </c>
      <c r="D2167" t="inlineStr">
        <is>
          <t>VÄSTRA GÖTALANDS LÄN</t>
        </is>
      </c>
      <c r="E2167" t="inlineStr">
        <is>
          <t>SKÖVDE</t>
        </is>
      </c>
      <c r="F2167" t="inlineStr">
        <is>
          <t>Övriga statliga verk och myndigheter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58413-2019</t>
        </is>
      </c>
      <c r="B2168" s="1" t="n">
        <v>43772</v>
      </c>
      <c r="C2168" s="1" t="n">
        <v>45586</v>
      </c>
      <c r="D2168" t="inlineStr">
        <is>
          <t>VÄSTRA GÖTALANDS LÄN</t>
        </is>
      </c>
      <c r="E2168" t="inlineStr">
        <is>
          <t>GULLSPÅNG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58414-2019</t>
        </is>
      </c>
      <c r="B2169" s="1" t="n">
        <v>43772</v>
      </c>
      <c r="C2169" s="1" t="n">
        <v>45586</v>
      </c>
      <c r="D2169" t="inlineStr">
        <is>
          <t>VÄSTRA GÖTALANDS LÄN</t>
        </is>
      </c>
      <c r="E2169" t="inlineStr">
        <is>
          <t>GULLSPÅNG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58402-2019</t>
        </is>
      </c>
      <c r="B2170" s="1" t="n">
        <v>43772</v>
      </c>
      <c r="C2170" s="1" t="n">
        <v>45586</v>
      </c>
      <c r="D2170" t="inlineStr">
        <is>
          <t>VÄSTRA GÖTALANDS LÄN</t>
        </is>
      </c>
      <c r="E2170" t="inlineStr">
        <is>
          <t>SKÖVDE</t>
        </is>
      </c>
      <c r="F2170" t="inlineStr">
        <is>
          <t>Övriga statliga verk och myndigheter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58401-2019</t>
        </is>
      </c>
      <c r="B2171" s="1" t="n">
        <v>43772</v>
      </c>
      <c r="C2171" s="1" t="n">
        <v>45586</v>
      </c>
      <c r="D2171" t="inlineStr">
        <is>
          <t>VÄSTRA GÖTALANDS LÄN</t>
        </is>
      </c>
      <c r="E2171" t="inlineStr">
        <is>
          <t>SKÖVDE</t>
        </is>
      </c>
      <c r="F2171" t="inlineStr">
        <is>
          <t>Övriga statliga verk och myndigheter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58462-2019</t>
        </is>
      </c>
      <c r="B2172" s="1" t="n">
        <v>43773</v>
      </c>
      <c r="C2172" s="1" t="n">
        <v>45586</v>
      </c>
      <c r="D2172" t="inlineStr">
        <is>
          <t>VÄSTRA GÖTALANDS LÄN</t>
        </is>
      </c>
      <c r="E2172" t="inlineStr">
        <is>
          <t>TROLLHÄTTAN</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58638-2019</t>
        </is>
      </c>
      <c r="B2173" s="1" t="n">
        <v>43773</v>
      </c>
      <c r="C2173" s="1" t="n">
        <v>45586</v>
      </c>
      <c r="D2173" t="inlineStr">
        <is>
          <t>VÄSTRA GÖTALANDS LÄN</t>
        </is>
      </c>
      <c r="E2173" t="inlineStr">
        <is>
          <t>LIDKÖPING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58469-2019</t>
        </is>
      </c>
      <c r="B2174" s="1" t="n">
        <v>43773</v>
      </c>
      <c r="C2174" s="1" t="n">
        <v>45586</v>
      </c>
      <c r="D2174" t="inlineStr">
        <is>
          <t>VÄSTRA GÖTALANDS LÄN</t>
        </is>
      </c>
      <c r="E2174" t="inlineStr">
        <is>
          <t>SVENLJUNGA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58691-2019</t>
        </is>
      </c>
      <c r="B2175" s="1" t="n">
        <v>43773</v>
      </c>
      <c r="C2175" s="1" t="n">
        <v>45586</v>
      </c>
      <c r="D2175" t="inlineStr">
        <is>
          <t>VÄSTRA GÖTALANDS LÄN</t>
        </is>
      </c>
      <c r="E2175" t="inlineStr">
        <is>
          <t>HJO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58698-2019</t>
        </is>
      </c>
      <c r="B2176" s="1" t="n">
        <v>43773</v>
      </c>
      <c r="C2176" s="1" t="n">
        <v>45586</v>
      </c>
      <c r="D2176" t="inlineStr">
        <is>
          <t>VÄSTRA GÖTALANDS LÄN</t>
        </is>
      </c>
      <c r="E2176" t="inlineStr">
        <is>
          <t>LIDKÖPING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58692-2019</t>
        </is>
      </c>
      <c r="B2177" s="1" t="n">
        <v>43773</v>
      </c>
      <c r="C2177" s="1" t="n">
        <v>45586</v>
      </c>
      <c r="D2177" t="inlineStr">
        <is>
          <t>VÄSTRA GÖTALANDS LÄN</t>
        </is>
      </c>
      <c r="E2177" t="inlineStr">
        <is>
          <t>LIDKÖPING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58766-2019</t>
        </is>
      </c>
      <c r="B2178" s="1" t="n">
        <v>43773</v>
      </c>
      <c r="C2178" s="1" t="n">
        <v>45586</v>
      </c>
      <c r="D2178" t="inlineStr">
        <is>
          <t>VÄSTRA GÖTALANDS LÄN</t>
        </is>
      </c>
      <c r="E2178" t="inlineStr">
        <is>
          <t>LIDKÖPING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58611-2019</t>
        </is>
      </c>
      <c r="B2179" s="1" t="n">
        <v>43773</v>
      </c>
      <c r="C2179" s="1" t="n">
        <v>45586</v>
      </c>
      <c r="D2179" t="inlineStr">
        <is>
          <t>VÄSTRA GÖTALANDS LÄN</t>
        </is>
      </c>
      <c r="E2179" t="inlineStr">
        <is>
          <t>BORÅS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58696-2019</t>
        </is>
      </c>
      <c r="B2180" s="1" t="n">
        <v>43773</v>
      </c>
      <c r="C2180" s="1" t="n">
        <v>45586</v>
      </c>
      <c r="D2180" t="inlineStr">
        <is>
          <t>VÄSTRA GÖTALANDS LÄN</t>
        </is>
      </c>
      <c r="E2180" t="inlineStr">
        <is>
          <t>LIDKÖPING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59265-2019</t>
        </is>
      </c>
      <c r="B2181" s="1" t="n">
        <v>43773</v>
      </c>
      <c r="C2181" s="1" t="n">
        <v>45586</v>
      </c>
      <c r="D2181" t="inlineStr">
        <is>
          <t>VÄSTRA GÖTALANDS LÄN</t>
        </is>
      </c>
      <c r="E2181" t="inlineStr">
        <is>
          <t>TRANEMO</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58763-2019</t>
        </is>
      </c>
      <c r="B2182" s="1" t="n">
        <v>43773</v>
      </c>
      <c r="C2182" s="1" t="n">
        <v>45586</v>
      </c>
      <c r="D2182" t="inlineStr">
        <is>
          <t>VÄSTRA GÖTALANDS LÄN</t>
        </is>
      </c>
      <c r="E2182" t="inlineStr">
        <is>
          <t>TRANEMO</t>
        </is>
      </c>
      <c r="F2182" t="inlineStr">
        <is>
          <t>Kyrkan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59507-2019</t>
        </is>
      </c>
      <c r="B2183" s="1" t="n">
        <v>43773</v>
      </c>
      <c r="C2183" s="1" t="n">
        <v>45586</v>
      </c>
      <c r="D2183" t="inlineStr">
        <is>
          <t>VÄSTRA GÖTALANDS LÄN</t>
        </is>
      </c>
      <c r="E2183" t="inlineStr">
        <is>
          <t>LILLA EDET</t>
        </is>
      </c>
      <c r="F2183" t="inlineStr">
        <is>
          <t>Kyrkan</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58498-2019</t>
        </is>
      </c>
      <c r="B2184" s="1" t="n">
        <v>43773</v>
      </c>
      <c r="C2184" s="1" t="n">
        <v>45586</v>
      </c>
      <c r="D2184" t="inlineStr">
        <is>
          <t>VÄSTRA GÖTALANDS LÄN</t>
        </is>
      </c>
      <c r="E2184" t="inlineStr">
        <is>
          <t>SKÖVDE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58970-2019</t>
        </is>
      </c>
      <c r="B2185" s="1" t="n">
        <v>43774</v>
      </c>
      <c r="C2185" s="1" t="n">
        <v>45586</v>
      </c>
      <c r="D2185" t="inlineStr">
        <is>
          <t>VÄSTRA GÖTALANDS LÄN</t>
        </is>
      </c>
      <c r="E2185" t="inlineStr">
        <is>
          <t>BORÅS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58998-2019</t>
        </is>
      </c>
      <c r="B2186" s="1" t="n">
        <v>43774</v>
      </c>
      <c r="C2186" s="1" t="n">
        <v>45586</v>
      </c>
      <c r="D2186" t="inlineStr">
        <is>
          <t>VÄSTRA GÖTALANDS LÄN</t>
        </is>
      </c>
      <c r="E2186" t="inlineStr">
        <is>
          <t>TROLLHÄTTAN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58853-2019</t>
        </is>
      </c>
      <c r="B2187" s="1" t="n">
        <v>43774</v>
      </c>
      <c r="C2187" s="1" t="n">
        <v>45586</v>
      </c>
      <c r="D2187" t="inlineStr">
        <is>
          <t>VÄSTRA GÖTALANDS LÄN</t>
        </is>
      </c>
      <c r="E2187" t="inlineStr">
        <is>
          <t>HJO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58871-2019</t>
        </is>
      </c>
      <c r="B2188" s="1" t="n">
        <v>43774</v>
      </c>
      <c r="C2188" s="1" t="n">
        <v>45586</v>
      </c>
      <c r="D2188" t="inlineStr">
        <is>
          <t>VÄSTRA GÖTALANDS LÄN</t>
        </is>
      </c>
      <c r="E2188" t="inlineStr">
        <is>
          <t>SKARA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58915-2019</t>
        </is>
      </c>
      <c r="B2189" s="1" t="n">
        <v>43774</v>
      </c>
      <c r="C2189" s="1" t="n">
        <v>45586</v>
      </c>
      <c r="D2189" t="inlineStr">
        <is>
          <t>VÄSTRA GÖTALANDS LÄN</t>
        </is>
      </c>
      <c r="E2189" t="inlineStr">
        <is>
          <t>FÄRGELANDA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58972-2019</t>
        </is>
      </c>
      <c r="B2190" s="1" t="n">
        <v>43774</v>
      </c>
      <c r="C2190" s="1" t="n">
        <v>45586</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58976-2019</t>
        </is>
      </c>
      <c r="B2191" s="1" t="n">
        <v>43774</v>
      </c>
      <c r="C2191" s="1" t="n">
        <v>45586</v>
      </c>
      <c r="D2191" t="inlineStr">
        <is>
          <t>VÄSTRA GÖTALANDS LÄN</t>
        </is>
      </c>
      <c r="E2191" t="inlineStr">
        <is>
          <t>FÄRGELANDA</t>
        </is>
      </c>
      <c r="G2191" t="n">
        <v>25.8</v>
      </c>
      <c r="H2191" t="n">
        <v>0</v>
      </c>
      <c r="I2191" t="n">
        <v>0</v>
      </c>
      <c r="J2191" t="n">
        <v>0</v>
      </c>
      <c r="K2191" t="n">
        <v>0</v>
      </c>
      <c r="L2191" t="n">
        <v>0</v>
      </c>
      <c r="M2191" t="n">
        <v>0</v>
      </c>
      <c r="N2191" t="n">
        <v>0</v>
      </c>
      <c r="O2191" t="n">
        <v>0</v>
      </c>
      <c r="P2191" t="n">
        <v>0</v>
      </c>
      <c r="Q2191" t="n">
        <v>0</v>
      </c>
      <c r="R2191" s="2" t="inlineStr"/>
    </row>
    <row r="2192" ht="15" customHeight="1">
      <c r="A2192" t="inlineStr">
        <is>
          <t>A 58907-2019</t>
        </is>
      </c>
      <c r="B2192" s="1" t="n">
        <v>43774</v>
      </c>
      <c r="C2192" s="1" t="n">
        <v>45586</v>
      </c>
      <c r="D2192" t="inlineStr">
        <is>
          <t>VÄSTRA GÖTALANDS LÄN</t>
        </is>
      </c>
      <c r="E2192" t="inlineStr">
        <is>
          <t>ALINGSÅS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58964-2019</t>
        </is>
      </c>
      <c r="B2193" s="1" t="n">
        <v>43774</v>
      </c>
      <c r="C2193" s="1" t="n">
        <v>45586</v>
      </c>
      <c r="D2193" t="inlineStr">
        <is>
          <t>VÄSTRA GÖTALANDS LÄN</t>
        </is>
      </c>
      <c r="E2193" t="inlineStr">
        <is>
          <t>BENGTSFORS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59888-2019</t>
        </is>
      </c>
      <c r="B2194" s="1" t="n">
        <v>43774</v>
      </c>
      <c r="C2194" s="1" t="n">
        <v>45586</v>
      </c>
      <c r="D2194" t="inlineStr">
        <is>
          <t>VÄSTRA GÖTALANDS LÄN</t>
        </is>
      </c>
      <c r="E2194" t="inlineStr">
        <is>
          <t>SKÖVDE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59800-2019</t>
        </is>
      </c>
      <c r="B2195" s="1" t="n">
        <v>43774</v>
      </c>
      <c r="C2195" s="1" t="n">
        <v>45586</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59829-2019</t>
        </is>
      </c>
      <c r="B2196" s="1" t="n">
        <v>43774</v>
      </c>
      <c r="C2196" s="1" t="n">
        <v>45586</v>
      </c>
      <c r="D2196" t="inlineStr">
        <is>
          <t>VÄSTRA GÖTALANDS LÄN</t>
        </is>
      </c>
      <c r="E2196" t="inlineStr">
        <is>
          <t>SKARA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59799-2019</t>
        </is>
      </c>
      <c r="B2197" s="1" t="n">
        <v>43774</v>
      </c>
      <c r="C2197" s="1" t="n">
        <v>45586</v>
      </c>
      <c r="D2197" t="inlineStr">
        <is>
          <t>VÄSTRA GÖTALANDS LÄN</t>
        </is>
      </c>
      <c r="E2197" t="inlineStr">
        <is>
          <t>ULRICEHAMN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59836-2019</t>
        </is>
      </c>
      <c r="B2198" s="1" t="n">
        <v>43774</v>
      </c>
      <c r="C2198" s="1" t="n">
        <v>45586</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59215-2019</t>
        </is>
      </c>
      <c r="B2199" s="1" t="n">
        <v>43775</v>
      </c>
      <c r="C2199" s="1" t="n">
        <v>45586</v>
      </c>
      <c r="D2199" t="inlineStr">
        <is>
          <t>VÄSTRA GÖTALANDS LÄN</t>
        </is>
      </c>
      <c r="E2199" t="inlineStr">
        <is>
          <t>BENGTSFORS</t>
        </is>
      </c>
      <c r="F2199" t="inlineStr">
        <is>
          <t>Övriga Aktiebolag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59233-2019</t>
        </is>
      </c>
      <c r="B2200" s="1" t="n">
        <v>43775</v>
      </c>
      <c r="C2200" s="1" t="n">
        <v>45586</v>
      </c>
      <c r="D2200" t="inlineStr">
        <is>
          <t>VÄSTRA GÖTALANDS LÄN</t>
        </is>
      </c>
      <c r="E2200" t="inlineStr">
        <is>
          <t>BOLLEBYGD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59390-2019</t>
        </is>
      </c>
      <c r="B2201" s="1" t="n">
        <v>43775</v>
      </c>
      <c r="C2201" s="1" t="n">
        <v>45586</v>
      </c>
      <c r="D2201" t="inlineStr">
        <is>
          <t>VÄSTRA GÖTALANDS LÄN</t>
        </is>
      </c>
      <c r="E2201" t="inlineStr">
        <is>
          <t>KUNGÄLV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59941-2019</t>
        </is>
      </c>
      <c r="B2202" s="1" t="n">
        <v>43775</v>
      </c>
      <c r="C2202" s="1" t="n">
        <v>45586</v>
      </c>
      <c r="D2202" t="inlineStr">
        <is>
          <t>VÄSTRA GÖTALANDS LÄN</t>
        </is>
      </c>
      <c r="E2202" t="inlineStr">
        <is>
          <t>STENUNGSUND</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59963-2019</t>
        </is>
      </c>
      <c r="B2203" s="1" t="n">
        <v>43775</v>
      </c>
      <c r="C2203" s="1" t="n">
        <v>45586</v>
      </c>
      <c r="D2203" t="inlineStr">
        <is>
          <t>VÄSTRA GÖTALANDS LÄN</t>
        </is>
      </c>
      <c r="E2203" t="inlineStr">
        <is>
          <t>TÖREBODA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59548-2019</t>
        </is>
      </c>
      <c r="B2204" s="1" t="n">
        <v>43776</v>
      </c>
      <c r="C2204" s="1" t="n">
        <v>45586</v>
      </c>
      <c r="D2204" t="inlineStr">
        <is>
          <t>VÄSTRA GÖTALANDS LÄN</t>
        </is>
      </c>
      <c r="E2204" t="inlineStr">
        <is>
          <t>BENGTSFORS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59497-2019</t>
        </is>
      </c>
      <c r="B2205" s="1" t="n">
        <v>43776</v>
      </c>
      <c r="C2205" s="1" t="n">
        <v>45586</v>
      </c>
      <c r="D2205" t="inlineStr">
        <is>
          <t>VÄSTRA GÖTALANDS LÄN</t>
        </is>
      </c>
      <c r="E2205" t="inlineStr">
        <is>
          <t>TIDAHOLM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59735-2019</t>
        </is>
      </c>
      <c r="B2206" s="1" t="n">
        <v>43776</v>
      </c>
      <c r="C2206" s="1" t="n">
        <v>45586</v>
      </c>
      <c r="D2206" t="inlineStr">
        <is>
          <t>VÄSTRA GÖTALANDS LÄN</t>
        </is>
      </c>
      <c r="E2206" t="inlineStr">
        <is>
          <t>ALE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60293-2019</t>
        </is>
      </c>
      <c r="B2207" s="1" t="n">
        <v>43776</v>
      </c>
      <c r="C2207" s="1" t="n">
        <v>45586</v>
      </c>
      <c r="D2207" t="inlineStr">
        <is>
          <t>VÄSTRA GÖTALANDS LÄN</t>
        </is>
      </c>
      <c r="E2207" t="inlineStr">
        <is>
          <t>ÅMÅL</t>
        </is>
      </c>
      <c r="F2207" t="inlineStr">
        <is>
          <t>Bergvik skog väst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60286-2019</t>
        </is>
      </c>
      <c r="B2208" s="1" t="n">
        <v>43776</v>
      </c>
      <c r="C2208" s="1" t="n">
        <v>45586</v>
      </c>
      <c r="D2208" t="inlineStr">
        <is>
          <t>VÄSTRA GÖTALANDS LÄN</t>
        </is>
      </c>
      <c r="E2208" t="inlineStr">
        <is>
          <t>LYSEKIL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60205-2019</t>
        </is>
      </c>
      <c r="B2209" s="1" t="n">
        <v>43776</v>
      </c>
      <c r="C2209" s="1" t="n">
        <v>45586</v>
      </c>
      <c r="D2209" t="inlineStr">
        <is>
          <t>VÄSTRA GÖTALANDS LÄN</t>
        </is>
      </c>
      <c r="E2209" t="inlineStr">
        <is>
          <t>TÖREBODA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60276-2019</t>
        </is>
      </c>
      <c r="B2210" s="1" t="n">
        <v>43776</v>
      </c>
      <c r="C2210" s="1" t="n">
        <v>45586</v>
      </c>
      <c r="D2210" t="inlineStr">
        <is>
          <t>VÄSTRA GÖTALANDS LÄN</t>
        </is>
      </c>
      <c r="E2210" t="inlineStr">
        <is>
          <t>DALS-ED</t>
        </is>
      </c>
      <c r="F2210" t="inlineStr">
        <is>
          <t>Kyrkan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59796-2019</t>
        </is>
      </c>
      <c r="B2211" s="1" t="n">
        <v>43777</v>
      </c>
      <c r="C2211" s="1" t="n">
        <v>45586</v>
      </c>
      <c r="D2211" t="inlineStr">
        <is>
          <t>VÄSTRA GÖTALANDS LÄN</t>
        </is>
      </c>
      <c r="E2211" t="inlineStr">
        <is>
          <t>LIDKÖPING</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59952-2019</t>
        </is>
      </c>
      <c r="B2212" s="1" t="n">
        <v>43777</v>
      </c>
      <c r="C2212" s="1" t="n">
        <v>45586</v>
      </c>
      <c r="D2212" t="inlineStr">
        <is>
          <t>VÄSTRA GÖTALANDS LÄN</t>
        </is>
      </c>
      <c r="E2212" t="inlineStr">
        <is>
          <t>BENGTSFORS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59802-2019</t>
        </is>
      </c>
      <c r="B2213" s="1" t="n">
        <v>43777</v>
      </c>
      <c r="C2213" s="1" t="n">
        <v>45586</v>
      </c>
      <c r="D2213" t="inlineStr">
        <is>
          <t>VÄSTRA GÖTALANDS LÄN</t>
        </is>
      </c>
      <c r="E2213" t="inlineStr">
        <is>
          <t>MARIESTAD</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60075-2019</t>
        </is>
      </c>
      <c r="B2214" s="1" t="n">
        <v>43777</v>
      </c>
      <c r="C2214" s="1" t="n">
        <v>45586</v>
      </c>
      <c r="D2214" t="inlineStr">
        <is>
          <t>VÄSTRA GÖTALANDS LÄN</t>
        </is>
      </c>
      <c r="E2214" t="inlineStr">
        <is>
          <t>GULLSPÅNG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60098-2019</t>
        </is>
      </c>
      <c r="B2215" s="1" t="n">
        <v>43777</v>
      </c>
      <c r="C2215" s="1" t="n">
        <v>45586</v>
      </c>
      <c r="D2215" t="inlineStr">
        <is>
          <t>VÄSTRA GÖTALANDS LÄN</t>
        </is>
      </c>
      <c r="E2215" t="inlineStr">
        <is>
          <t>SKÖVDE</t>
        </is>
      </c>
      <c r="F2215" t="inlineStr">
        <is>
          <t>Övriga statliga verk och myndigheter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60096-2019</t>
        </is>
      </c>
      <c r="B2216" s="1" t="n">
        <v>43777</v>
      </c>
      <c r="C2216" s="1" t="n">
        <v>45586</v>
      </c>
      <c r="D2216" t="inlineStr">
        <is>
          <t>VÄSTRA GÖTALANDS LÄN</t>
        </is>
      </c>
      <c r="E2216" t="inlineStr">
        <is>
          <t>SKÖVDE</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60027-2019</t>
        </is>
      </c>
      <c r="B2217" s="1" t="n">
        <v>43777</v>
      </c>
      <c r="C2217" s="1" t="n">
        <v>45586</v>
      </c>
      <c r="D2217" t="inlineStr">
        <is>
          <t>VÄSTRA GÖTALANDS LÄN</t>
        </is>
      </c>
      <c r="E2217" t="inlineStr">
        <is>
          <t>MELLERUD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59975-2019</t>
        </is>
      </c>
      <c r="B2218" s="1" t="n">
        <v>43777</v>
      </c>
      <c r="C2218" s="1" t="n">
        <v>45586</v>
      </c>
      <c r="D2218" t="inlineStr">
        <is>
          <t>VÄSTRA GÖTALANDS LÄN</t>
        </is>
      </c>
      <c r="E2218" t="inlineStr">
        <is>
          <t>LILLA EDET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60100-2019</t>
        </is>
      </c>
      <c r="B2219" s="1" t="n">
        <v>43777</v>
      </c>
      <c r="C2219" s="1" t="n">
        <v>45586</v>
      </c>
      <c r="D2219" t="inlineStr">
        <is>
          <t>VÄSTRA GÖTALANDS LÄN</t>
        </is>
      </c>
      <c r="E2219" t="inlineStr">
        <is>
          <t>SKÖVDE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60272-2019</t>
        </is>
      </c>
      <c r="B2220" s="1" t="n">
        <v>43780</v>
      </c>
      <c r="C2220" s="1" t="n">
        <v>45586</v>
      </c>
      <c r="D2220" t="inlineStr">
        <is>
          <t>VÄSTRA GÖTALANDS LÄN</t>
        </is>
      </c>
      <c r="E2220" t="inlineStr">
        <is>
          <t>SVENLJUNGA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60348-2019</t>
        </is>
      </c>
      <c r="B2221" s="1" t="n">
        <v>43780</v>
      </c>
      <c r="C2221" s="1" t="n">
        <v>45586</v>
      </c>
      <c r="D2221" t="inlineStr">
        <is>
          <t>VÄSTRA GÖTALANDS LÄN</t>
        </is>
      </c>
      <c r="E2221" t="inlineStr">
        <is>
          <t>KUNGÄLV</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60395-2019</t>
        </is>
      </c>
      <c r="B2222" s="1" t="n">
        <v>43780</v>
      </c>
      <c r="C2222" s="1" t="n">
        <v>45586</v>
      </c>
      <c r="D2222" t="inlineStr">
        <is>
          <t>VÄSTRA GÖTALANDS LÄN</t>
        </is>
      </c>
      <c r="E2222" t="inlineStr">
        <is>
          <t>ALE</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60271-2019</t>
        </is>
      </c>
      <c r="B2223" s="1" t="n">
        <v>43780</v>
      </c>
      <c r="C2223" s="1" t="n">
        <v>45586</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60379-2019</t>
        </is>
      </c>
      <c r="B2224" s="1" t="n">
        <v>43780</v>
      </c>
      <c r="C2224" s="1" t="n">
        <v>45586</v>
      </c>
      <c r="D2224" t="inlineStr">
        <is>
          <t>VÄSTRA GÖTALANDS LÄN</t>
        </is>
      </c>
      <c r="E2224" t="inlineStr">
        <is>
          <t>ALE</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60494-2019</t>
        </is>
      </c>
      <c r="B2225" s="1" t="n">
        <v>43780</v>
      </c>
      <c r="C2225" s="1" t="n">
        <v>45586</v>
      </c>
      <c r="D2225" t="inlineStr">
        <is>
          <t>VÄSTRA GÖTALANDS LÄN</t>
        </is>
      </c>
      <c r="E2225" t="inlineStr">
        <is>
          <t>ÅMÅL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60927-2019</t>
        </is>
      </c>
      <c r="B2226" s="1" t="n">
        <v>43780</v>
      </c>
      <c r="C2226" s="1" t="n">
        <v>45586</v>
      </c>
      <c r="D2226" t="inlineStr">
        <is>
          <t>VÄSTRA GÖTALANDS LÄN</t>
        </is>
      </c>
      <c r="E2226" t="inlineStr">
        <is>
          <t>SVENLJUNGA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60624-2019</t>
        </is>
      </c>
      <c r="B2227" s="1" t="n">
        <v>43781</v>
      </c>
      <c r="C2227" s="1" t="n">
        <v>45586</v>
      </c>
      <c r="D2227" t="inlineStr">
        <is>
          <t>VÄSTRA GÖTALANDS LÄN</t>
        </is>
      </c>
      <c r="E2227" t="inlineStr">
        <is>
          <t>LIDKÖPING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60689-2019</t>
        </is>
      </c>
      <c r="B2228" s="1" t="n">
        <v>43781</v>
      </c>
      <c r="C2228" s="1" t="n">
        <v>45586</v>
      </c>
      <c r="D2228" t="inlineStr">
        <is>
          <t>VÄSTRA GÖTALANDS LÄN</t>
        </is>
      </c>
      <c r="E2228" t="inlineStr">
        <is>
          <t>FÄRGELANDA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60680-2019</t>
        </is>
      </c>
      <c r="B2229" s="1" t="n">
        <v>43781</v>
      </c>
      <c r="C2229" s="1" t="n">
        <v>45586</v>
      </c>
      <c r="D2229" t="inlineStr">
        <is>
          <t>VÄSTRA GÖTALANDS LÄN</t>
        </is>
      </c>
      <c r="E2229" t="inlineStr">
        <is>
          <t>DALS-ED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60701-2019</t>
        </is>
      </c>
      <c r="B2230" s="1" t="n">
        <v>43781</v>
      </c>
      <c r="C2230" s="1" t="n">
        <v>45586</v>
      </c>
      <c r="D2230" t="inlineStr">
        <is>
          <t>VÄSTRA GÖTALANDS LÄN</t>
        </is>
      </c>
      <c r="E2230" t="inlineStr">
        <is>
          <t>GRÄSTORP</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60759-2019</t>
        </is>
      </c>
      <c r="B2231" s="1" t="n">
        <v>43781</v>
      </c>
      <c r="C2231" s="1" t="n">
        <v>45586</v>
      </c>
      <c r="D2231" t="inlineStr">
        <is>
          <t>VÄSTRA GÖTALANDS LÄN</t>
        </is>
      </c>
      <c r="E2231" t="inlineStr">
        <is>
          <t>BOLLEBYGD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60779-2019</t>
        </is>
      </c>
      <c r="B2232" s="1" t="n">
        <v>43781</v>
      </c>
      <c r="C2232" s="1" t="n">
        <v>45586</v>
      </c>
      <c r="D2232" t="inlineStr">
        <is>
          <t>VÄSTRA GÖTALANDS LÄN</t>
        </is>
      </c>
      <c r="E2232" t="inlineStr">
        <is>
          <t>KARLSBORG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60792-2019</t>
        </is>
      </c>
      <c r="B2233" s="1" t="n">
        <v>43781</v>
      </c>
      <c r="C2233" s="1" t="n">
        <v>45586</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60797-2019</t>
        </is>
      </c>
      <c r="B2234" s="1" t="n">
        <v>43781</v>
      </c>
      <c r="C2234" s="1" t="n">
        <v>45586</v>
      </c>
      <c r="D2234" t="inlineStr">
        <is>
          <t>VÄSTRA GÖTALANDS LÄN</t>
        </is>
      </c>
      <c r="E2234" t="inlineStr">
        <is>
          <t>MUNKEDAL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60666-2019</t>
        </is>
      </c>
      <c r="B2235" s="1" t="n">
        <v>43781</v>
      </c>
      <c r="C2235" s="1" t="n">
        <v>45586</v>
      </c>
      <c r="D2235" t="inlineStr">
        <is>
          <t>VÄSTRA GÖTALANDS LÄN</t>
        </is>
      </c>
      <c r="E2235" t="inlineStr">
        <is>
          <t>BENGTSFORS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60679-2019</t>
        </is>
      </c>
      <c r="B2236" s="1" t="n">
        <v>43781</v>
      </c>
      <c r="C2236" s="1" t="n">
        <v>45586</v>
      </c>
      <c r="D2236" t="inlineStr">
        <is>
          <t>VÄSTRA GÖTALANDS LÄN</t>
        </is>
      </c>
      <c r="E2236" t="inlineStr">
        <is>
          <t>ALE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60762-2019</t>
        </is>
      </c>
      <c r="B2237" s="1" t="n">
        <v>43781</v>
      </c>
      <c r="C2237" s="1" t="n">
        <v>45586</v>
      </c>
      <c r="D2237" t="inlineStr">
        <is>
          <t>VÄSTRA GÖTALANDS LÄN</t>
        </is>
      </c>
      <c r="E2237" t="inlineStr">
        <is>
          <t>KUNGÄLV</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60796-2019</t>
        </is>
      </c>
      <c r="B2238" s="1" t="n">
        <v>43781</v>
      </c>
      <c r="C2238" s="1" t="n">
        <v>45586</v>
      </c>
      <c r="D2238" t="inlineStr">
        <is>
          <t>VÄSTRA GÖTALANDS LÄN</t>
        </is>
      </c>
      <c r="E2238" t="inlineStr">
        <is>
          <t>TÖREBODA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60832-2019</t>
        </is>
      </c>
      <c r="B2239" s="1" t="n">
        <v>43781</v>
      </c>
      <c r="C2239" s="1" t="n">
        <v>45586</v>
      </c>
      <c r="D2239" t="inlineStr">
        <is>
          <t>VÄSTRA GÖTALANDS LÄN</t>
        </is>
      </c>
      <c r="E2239" t="inlineStr">
        <is>
          <t>MÖLNDAL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60705-2019</t>
        </is>
      </c>
      <c r="B2240" s="1" t="n">
        <v>43781</v>
      </c>
      <c r="C2240" s="1" t="n">
        <v>45586</v>
      </c>
      <c r="D2240" t="inlineStr">
        <is>
          <t>VÄSTRA GÖTALANDS LÄN</t>
        </is>
      </c>
      <c r="E2240" t="inlineStr">
        <is>
          <t>GRÄSTORP</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61886-2019</t>
        </is>
      </c>
      <c r="B2241" s="1" t="n">
        <v>43781</v>
      </c>
      <c r="C2241" s="1" t="n">
        <v>45586</v>
      </c>
      <c r="D2241" t="inlineStr">
        <is>
          <t>VÄSTRA GÖTALANDS LÄN</t>
        </is>
      </c>
      <c r="E2241" t="inlineStr">
        <is>
          <t>ESSUNGA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61991-2019</t>
        </is>
      </c>
      <c r="B2242" s="1" t="n">
        <v>43781</v>
      </c>
      <c r="C2242" s="1" t="n">
        <v>45586</v>
      </c>
      <c r="D2242" t="inlineStr">
        <is>
          <t>VÄSTRA GÖTALANDS LÄN</t>
        </is>
      </c>
      <c r="E2242" t="inlineStr">
        <is>
          <t>TIBRO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60866-2019</t>
        </is>
      </c>
      <c r="B2243" s="1" t="n">
        <v>43781</v>
      </c>
      <c r="C2243" s="1" t="n">
        <v>45586</v>
      </c>
      <c r="D2243" t="inlineStr">
        <is>
          <t>VÄSTRA GÖTALANDS LÄN</t>
        </is>
      </c>
      <c r="E2243" t="inlineStr">
        <is>
          <t>GULLSPÅNG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60801-2019</t>
        </is>
      </c>
      <c r="B2244" s="1" t="n">
        <v>43781</v>
      </c>
      <c r="C2244" s="1" t="n">
        <v>45586</v>
      </c>
      <c r="D2244" t="inlineStr">
        <is>
          <t>VÄSTRA GÖTALANDS LÄN</t>
        </is>
      </c>
      <c r="E2244" t="inlineStr">
        <is>
          <t>HERRLJUNGA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60970-2019</t>
        </is>
      </c>
      <c r="B2245" s="1" t="n">
        <v>43782</v>
      </c>
      <c r="C2245" s="1" t="n">
        <v>45586</v>
      </c>
      <c r="D2245" t="inlineStr">
        <is>
          <t>VÄSTRA GÖTALANDS LÄN</t>
        </is>
      </c>
      <c r="E2245" t="inlineStr">
        <is>
          <t>SVENLJUNGA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60990-2019</t>
        </is>
      </c>
      <c r="B2246" s="1" t="n">
        <v>43782</v>
      </c>
      <c r="C2246" s="1" t="n">
        <v>45586</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61154-2019</t>
        </is>
      </c>
      <c r="B2247" s="1" t="n">
        <v>43782</v>
      </c>
      <c r="C2247" s="1" t="n">
        <v>45586</v>
      </c>
      <c r="D2247" t="inlineStr">
        <is>
          <t>VÄSTRA GÖTALANDS LÄN</t>
        </is>
      </c>
      <c r="E2247" t="inlineStr">
        <is>
          <t>LIDKÖPING</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60908-2019</t>
        </is>
      </c>
      <c r="B2248" s="1" t="n">
        <v>43782</v>
      </c>
      <c r="C2248" s="1" t="n">
        <v>45586</v>
      </c>
      <c r="D2248" t="inlineStr">
        <is>
          <t>VÄSTRA GÖTALANDS LÄN</t>
        </is>
      </c>
      <c r="E2248" t="inlineStr">
        <is>
          <t>TÖREBODA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60909-2019</t>
        </is>
      </c>
      <c r="B2249" s="1" t="n">
        <v>43782</v>
      </c>
      <c r="C2249" s="1" t="n">
        <v>45586</v>
      </c>
      <c r="D2249" t="inlineStr">
        <is>
          <t>VÄSTRA GÖTALANDS LÄN</t>
        </is>
      </c>
      <c r="E2249" t="inlineStr">
        <is>
          <t>TÖREBODA</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61017-2019</t>
        </is>
      </c>
      <c r="B2250" s="1" t="n">
        <v>43782</v>
      </c>
      <c r="C2250" s="1" t="n">
        <v>45586</v>
      </c>
      <c r="D2250" t="inlineStr">
        <is>
          <t>VÄSTRA GÖTALANDS LÄN</t>
        </is>
      </c>
      <c r="E2250" t="inlineStr">
        <is>
          <t>SKARA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61029-2019</t>
        </is>
      </c>
      <c r="B2251" s="1" t="n">
        <v>43782</v>
      </c>
      <c r="C2251" s="1" t="n">
        <v>45586</v>
      </c>
      <c r="D2251" t="inlineStr">
        <is>
          <t>VÄSTRA GÖTALANDS LÄN</t>
        </is>
      </c>
      <c r="E2251" t="inlineStr">
        <is>
          <t>MARK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61121-2019</t>
        </is>
      </c>
      <c r="B2252" s="1" t="n">
        <v>43782</v>
      </c>
      <c r="C2252" s="1" t="n">
        <v>45586</v>
      </c>
      <c r="D2252" t="inlineStr">
        <is>
          <t>VÄSTRA GÖTALANDS LÄN</t>
        </is>
      </c>
      <c r="E2252" t="inlineStr">
        <is>
          <t>SVENLJUNGA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61140-2019</t>
        </is>
      </c>
      <c r="B2253" s="1" t="n">
        <v>43782</v>
      </c>
      <c r="C2253" s="1" t="n">
        <v>45586</v>
      </c>
      <c r="D2253" t="inlineStr">
        <is>
          <t>VÄSTRA GÖTALANDS LÄN</t>
        </is>
      </c>
      <c r="E2253" t="inlineStr">
        <is>
          <t>LIDKÖPING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61151-2019</t>
        </is>
      </c>
      <c r="B2254" s="1" t="n">
        <v>43782</v>
      </c>
      <c r="C2254" s="1" t="n">
        <v>45586</v>
      </c>
      <c r="D2254" t="inlineStr">
        <is>
          <t>VÄSTRA GÖTALANDS LÄN</t>
        </is>
      </c>
      <c r="E2254" t="inlineStr">
        <is>
          <t>FÄRGELANDA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62053-2019</t>
        </is>
      </c>
      <c r="B2255" s="1" t="n">
        <v>43782</v>
      </c>
      <c r="C2255" s="1" t="n">
        <v>45586</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62057-2019</t>
        </is>
      </c>
      <c r="B2256" s="1" t="n">
        <v>43782</v>
      </c>
      <c r="C2256" s="1" t="n">
        <v>45586</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62061-2019</t>
        </is>
      </c>
      <c r="B2257" s="1" t="n">
        <v>43782</v>
      </c>
      <c r="C2257" s="1" t="n">
        <v>45586</v>
      </c>
      <c r="D2257" t="inlineStr">
        <is>
          <t>VÄSTRA GÖTALANDS LÄN</t>
        </is>
      </c>
      <c r="E2257" t="inlineStr">
        <is>
          <t>VARA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61134-2019</t>
        </is>
      </c>
      <c r="B2258" s="1" t="n">
        <v>43782</v>
      </c>
      <c r="C2258" s="1" t="n">
        <v>45586</v>
      </c>
      <c r="D2258" t="inlineStr">
        <is>
          <t>VÄSTRA GÖTALANDS LÄN</t>
        </is>
      </c>
      <c r="E2258" t="inlineStr">
        <is>
          <t>TIDAHOLM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62372-2019</t>
        </is>
      </c>
      <c r="B2259" s="1" t="n">
        <v>43782</v>
      </c>
      <c r="C2259" s="1" t="n">
        <v>45586</v>
      </c>
      <c r="D2259" t="inlineStr">
        <is>
          <t>VÄSTRA GÖTALANDS LÄN</t>
        </is>
      </c>
      <c r="E2259" t="inlineStr">
        <is>
          <t>STRÖMSTAD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62082-2019</t>
        </is>
      </c>
      <c r="B2260" s="1" t="n">
        <v>43782</v>
      </c>
      <c r="C2260" s="1" t="n">
        <v>45586</v>
      </c>
      <c r="D2260" t="inlineStr">
        <is>
          <t>VÄSTRA GÖTALANDS LÄN</t>
        </is>
      </c>
      <c r="E2260" t="inlineStr">
        <is>
          <t>FALKÖPING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61320-2019</t>
        </is>
      </c>
      <c r="B2261" s="1" t="n">
        <v>43783</v>
      </c>
      <c r="C2261" s="1" t="n">
        <v>45586</v>
      </c>
      <c r="D2261" t="inlineStr">
        <is>
          <t>VÄSTRA GÖTALANDS LÄN</t>
        </is>
      </c>
      <c r="E2261" t="inlineStr">
        <is>
          <t>FALKÖPING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61233-2019</t>
        </is>
      </c>
      <c r="B2262" s="1" t="n">
        <v>43783</v>
      </c>
      <c r="C2262" s="1" t="n">
        <v>45586</v>
      </c>
      <c r="D2262" t="inlineStr">
        <is>
          <t>VÄSTRA GÖTALANDS LÄN</t>
        </is>
      </c>
      <c r="E2262" t="inlineStr">
        <is>
          <t>BENGTSFORS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61245-2019</t>
        </is>
      </c>
      <c r="B2263" s="1" t="n">
        <v>43783</v>
      </c>
      <c r="C2263" s="1" t="n">
        <v>45586</v>
      </c>
      <c r="D2263" t="inlineStr">
        <is>
          <t>VÄSTRA GÖTALANDS LÄN</t>
        </is>
      </c>
      <c r="E2263" t="inlineStr">
        <is>
          <t>DALS-ED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61415-2019</t>
        </is>
      </c>
      <c r="B2264" s="1" t="n">
        <v>43783</v>
      </c>
      <c r="C2264" s="1" t="n">
        <v>45586</v>
      </c>
      <c r="D2264" t="inlineStr">
        <is>
          <t>VÄSTRA GÖTALANDS LÄN</t>
        </is>
      </c>
      <c r="E2264" t="inlineStr">
        <is>
          <t>BOLLEBYGD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61286-2019</t>
        </is>
      </c>
      <c r="B2265" s="1" t="n">
        <v>43783</v>
      </c>
      <c r="C2265" s="1" t="n">
        <v>45586</v>
      </c>
      <c r="D2265" t="inlineStr">
        <is>
          <t>VÄSTRA GÖTALANDS LÄN</t>
        </is>
      </c>
      <c r="E2265" t="inlineStr">
        <is>
          <t>TRANEMO</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61348-2019</t>
        </is>
      </c>
      <c r="B2266" s="1" t="n">
        <v>43783</v>
      </c>
      <c r="C2266" s="1" t="n">
        <v>45586</v>
      </c>
      <c r="D2266" t="inlineStr">
        <is>
          <t>VÄSTRA GÖTALANDS LÄN</t>
        </is>
      </c>
      <c r="E2266" t="inlineStr">
        <is>
          <t>VARA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61427-2019</t>
        </is>
      </c>
      <c r="B2267" s="1" t="n">
        <v>43783</v>
      </c>
      <c r="C2267" s="1" t="n">
        <v>45586</v>
      </c>
      <c r="D2267" t="inlineStr">
        <is>
          <t>VÄSTRA GÖTALANDS LÄN</t>
        </is>
      </c>
      <c r="E2267" t="inlineStr">
        <is>
          <t>ALINGSÅS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61457-2019</t>
        </is>
      </c>
      <c r="B2268" s="1" t="n">
        <v>43783</v>
      </c>
      <c r="C2268" s="1" t="n">
        <v>45586</v>
      </c>
      <c r="D2268" t="inlineStr">
        <is>
          <t>VÄSTRA GÖTALANDS LÄN</t>
        </is>
      </c>
      <c r="E2268" t="inlineStr">
        <is>
          <t>MARK</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61475-2019</t>
        </is>
      </c>
      <c r="B2269" s="1" t="n">
        <v>43783</v>
      </c>
      <c r="C2269" s="1" t="n">
        <v>45586</v>
      </c>
      <c r="D2269" t="inlineStr">
        <is>
          <t>VÄSTRA GÖTALANDS LÄN</t>
        </is>
      </c>
      <c r="E2269" t="inlineStr">
        <is>
          <t>MARK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61448-2019</t>
        </is>
      </c>
      <c r="B2270" s="1" t="n">
        <v>43783</v>
      </c>
      <c r="C2270" s="1" t="n">
        <v>45586</v>
      </c>
      <c r="D2270" t="inlineStr">
        <is>
          <t>VÄSTRA GÖTALANDS LÄN</t>
        </is>
      </c>
      <c r="E2270" t="inlineStr">
        <is>
          <t>BOLLEBYGD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62557-2019</t>
        </is>
      </c>
      <c r="B2271" s="1" t="n">
        <v>43783</v>
      </c>
      <c r="C2271" s="1" t="n">
        <v>45586</v>
      </c>
      <c r="D2271" t="inlineStr">
        <is>
          <t>VÄSTRA GÖTALANDS LÄN</t>
        </is>
      </c>
      <c r="E2271" t="inlineStr">
        <is>
          <t>GULLSPÅNG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62556-2019</t>
        </is>
      </c>
      <c r="B2272" s="1" t="n">
        <v>43783</v>
      </c>
      <c r="C2272" s="1" t="n">
        <v>45586</v>
      </c>
      <c r="D2272" t="inlineStr">
        <is>
          <t>VÄSTRA GÖTALANDS LÄN</t>
        </is>
      </c>
      <c r="E2272" t="inlineStr">
        <is>
          <t>GULLSPÅNG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61359-2019</t>
        </is>
      </c>
      <c r="B2273" s="1" t="n">
        <v>43783</v>
      </c>
      <c r="C2273" s="1" t="n">
        <v>45586</v>
      </c>
      <c r="D2273" t="inlineStr">
        <is>
          <t>VÄSTRA GÖTALANDS LÄN</t>
        </is>
      </c>
      <c r="E2273" t="inlineStr">
        <is>
          <t>BENGTSFORS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62559-2019</t>
        </is>
      </c>
      <c r="B2274" s="1" t="n">
        <v>43783</v>
      </c>
      <c r="C2274" s="1" t="n">
        <v>45586</v>
      </c>
      <c r="D2274" t="inlineStr">
        <is>
          <t>VÄSTRA GÖTALANDS LÄN</t>
        </is>
      </c>
      <c r="E2274" t="inlineStr">
        <is>
          <t>GULLSPÅNG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61630-2019</t>
        </is>
      </c>
      <c r="B2275" s="1" t="n">
        <v>43784</v>
      </c>
      <c r="C2275" s="1" t="n">
        <v>45586</v>
      </c>
      <c r="D2275" t="inlineStr">
        <is>
          <t>VÄSTRA GÖTALANDS LÄN</t>
        </is>
      </c>
      <c r="E2275" t="inlineStr">
        <is>
          <t>VARA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61551-2019</t>
        </is>
      </c>
      <c r="B2276" s="1" t="n">
        <v>43784</v>
      </c>
      <c r="C2276" s="1" t="n">
        <v>45586</v>
      </c>
      <c r="D2276" t="inlineStr">
        <is>
          <t>VÄSTRA GÖTALANDS LÄN</t>
        </is>
      </c>
      <c r="E2276" t="inlineStr">
        <is>
          <t>ULRICEHAMN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61727-2019</t>
        </is>
      </c>
      <c r="B2277" s="1" t="n">
        <v>43784</v>
      </c>
      <c r="C2277" s="1" t="n">
        <v>45586</v>
      </c>
      <c r="D2277" t="inlineStr">
        <is>
          <t>VÄSTRA GÖTALANDS LÄN</t>
        </is>
      </c>
      <c r="E2277" t="inlineStr">
        <is>
          <t>BORÅS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61737-2019</t>
        </is>
      </c>
      <c r="B2278" s="1" t="n">
        <v>43784</v>
      </c>
      <c r="C2278" s="1" t="n">
        <v>45586</v>
      </c>
      <c r="D2278" t="inlineStr">
        <is>
          <t>VÄSTRA GÖTALANDS LÄN</t>
        </is>
      </c>
      <c r="E2278" t="inlineStr">
        <is>
          <t>MUNKEDAL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61548-2019</t>
        </is>
      </c>
      <c r="B2279" s="1" t="n">
        <v>43784</v>
      </c>
      <c r="C2279" s="1" t="n">
        <v>45586</v>
      </c>
      <c r="D2279" t="inlineStr">
        <is>
          <t>VÄSTRA GÖTALANDS LÄN</t>
        </is>
      </c>
      <c r="E2279" t="inlineStr">
        <is>
          <t>TIBRO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61643-2019</t>
        </is>
      </c>
      <c r="B2280" s="1" t="n">
        <v>43784</v>
      </c>
      <c r="C2280" s="1" t="n">
        <v>45586</v>
      </c>
      <c r="D2280" t="inlineStr">
        <is>
          <t>VÄSTRA GÖTALANDS LÄN</t>
        </is>
      </c>
      <c r="E2280" t="inlineStr">
        <is>
          <t>LILLA EDET</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61683-2019</t>
        </is>
      </c>
      <c r="B2281" s="1" t="n">
        <v>43784</v>
      </c>
      <c r="C2281" s="1" t="n">
        <v>45586</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61766-2019</t>
        </is>
      </c>
      <c r="B2282" s="1" t="n">
        <v>43784</v>
      </c>
      <c r="C2282" s="1" t="n">
        <v>45586</v>
      </c>
      <c r="D2282" t="inlineStr">
        <is>
          <t>VÄSTRA GÖTALANDS LÄN</t>
        </is>
      </c>
      <c r="E2282" t="inlineStr">
        <is>
          <t>ALINGSÅS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61728-2019</t>
        </is>
      </c>
      <c r="B2283" s="1" t="n">
        <v>43784</v>
      </c>
      <c r="C2283" s="1" t="n">
        <v>45586</v>
      </c>
      <c r="D2283" t="inlineStr">
        <is>
          <t>VÄSTRA GÖTALANDS LÄN</t>
        </is>
      </c>
      <c r="E2283" t="inlineStr">
        <is>
          <t>BORÅS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61706-2019</t>
        </is>
      </c>
      <c r="B2284" s="1" t="n">
        <v>43784</v>
      </c>
      <c r="C2284" s="1" t="n">
        <v>45586</v>
      </c>
      <c r="D2284" t="inlineStr">
        <is>
          <t>VÄSTRA GÖTALANDS LÄN</t>
        </is>
      </c>
      <c r="E2284" t="inlineStr">
        <is>
          <t>ALINGSÅS</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61725-2019</t>
        </is>
      </c>
      <c r="B2285" s="1" t="n">
        <v>43784</v>
      </c>
      <c r="C2285" s="1" t="n">
        <v>45586</v>
      </c>
      <c r="D2285" t="inlineStr">
        <is>
          <t>VÄSTRA GÖTALANDS LÄN</t>
        </is>
      </c>
      <c r="E2285" t="inlineStr">
        <is>
          <t>MARK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61574-2019</t>
        </is>
      </c>
      <c r="B2286" s="1" t="n">
        <v>43784</v>
      </c>
      <c r="C2286" s="1" t="n">
        <v>45586</v>
      </c>
      <c r="D2286" t="inlineStr">
        <is>
          <t>VÄSTRA GÖTALANDS LÄN</t>
        </is>
      </c>
      <c r="E2286" t="inlineStr">
        <is>
          <t>ULRICEHAMN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61741-2019</t>
        </is>
      </c>
      <c r="B2287" s="1" t="n">
        <v>43784</v>
      </c>
      <c r="C2287" s="1" t="n">
        <v>45586</v>
      </c>
      <c r="D2287" t="inlineStr">
        <is>
          <t>VÄSTRA GÖTALANDS LÄN</t>
        </is>
      </c>
      <c r="E2287" t="inlineStr">
        <is>
          <t>BENGTSFORS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61698-2019</t>
        </is>
      </c>
      <c r="B2288" s="1" t="n">
        <v>43784</v>
      </c>
      <c r="C2288" s="1" t="n">
        <v>45586</v>
      </c>
      <c r="D2288" t="inlineStr">
        <is>
          <t>VÄSTRA GÖTALANDS LÄN</t>
        </is>
      </c>
      <c r="E2288" t="inlineStr">
        <is>
          <t>BORÅS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61793-2019</t>
        </is>
      </c>
      <c r="B2289" s="1" t="n">
        <v>43785</v>
      </c>
      <c r="C2289" s="1" t="n">
        <v>45586</v>
      </c>
      <c r="D2289" t="inlineStr">
        <is>
          <t>VÄSTRA GÖTALANDS LÄN</t>
        </is>
      </c>
      <c r="E2289" t="inlineStr">
        <is>
          <t>ÅMÅL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61792-2019</t>
        </is>
      </c>
      <c r="B2290" s="1" t="n">
        <v>43785</v>
      </c>
      <c r="C2290" s="1" t="n">
        <v>45586</v>
      </c>
      <c r="D2290" t="inlineStr">
        <is>
          <t>VÄSTRA GÖTALANDS LÄN</t>
        </is>
      </c>
      <c r="E2290" t="inlineStr">
        <is>
          <t>ÅMÅL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61844-2019</t>
        </is>
      </c>
      <c r="B2291" s="1" t="n">
        <v>43786</v>
      </c>
      <c r="C2291" s="1" t="n">
        <v>45586</v>
      </c>
      <c r="D2291" t="inlineStr">
        <is>
          <t>VÄSTRA GÖTALANDS LÄN</t>
        </is>
      </c>
      <c r="E2291" t="inlineStr">
        <is>
          <t>ULRICEHAMN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62786-2019</t>
        </is>
      </c>
      <c r="B2292" s="1" t="n">
        <v>43786</v>
      </c>
      <c r="C2292" s="1" t="n">
        <v>45586</v>
      </c>
      <c r="D2292" t="inlineStr">
        <is>
          <t>VÄSTRA GÖTALANDS LÄN</t>
        </is>
      </c>
      <c r="E2292" t="inlineStr">
        <is>
          <t>TIBRO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61846-2019</t>
        </is>
      </c>
      <c r="B2293" s="1" t="n">
        <v>43786</v>
      </c>
      <c r="C2293" s="1" t="n">
        <v>45586</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61965-2019</t>
        </is>
      </c>
      <c r="B2294" s="1" t="n">
        <v>43787</v>
      </c>
      <c r="C2294" s="1" t="n">
        <v>45586</v>
      </c>
      <c r="D2294" t="inlineStr">
        <is>
          <t>VÄSTRA GÖTALANDS LÄN</t>
        </is>
      </c>
      <c r="E2294" t="inlineStr">
        <is>
          <t>GÖTENE</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62024-2019</t>
        </is>
      </c>
      <c r="B2295" s="1" t="n">
        <v>43787</v>
      </c>
      <c r="C2295" s="1" t="n">
        <v>45586</v>
      </c>
      <c r="D2295" t="inlineStr">
        <is>
          <t>VÄSTRA GÖTALANDS LÄN</t>
        </is>
      </c>
      <c r="E2295" t="inlineStr">
        <is>
          <t>GÖTENE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62008-2019</t>
        </is>
      </c>
      <c r="B2296" s="1" t="n">
        <v>43787</v>
      </c>
      <c r="C2296" s="1" t="n">
        <v>45586</v>
      </c>
      <c r="D2296" t="inlineStr">
        <is>
          <t>VÄSTRA GÖTALANDS LÄN</t>
        </is>
      </c>
      <c r="E2296" t="inlineStr">
        <is>
          <t>GRÄSTORP</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62047-2019</t>
        </is>
      </c>
      <c r="B2297" s="1" t="n">
        <v>43787</v>
      </c>
      <c r="C2297" s="1" t="n">
        <v>45586</v>
      </c>
      <c r="D2297" t="inlineStr">
        <is>
          <t>VÄSTRA GÖTALANDS LÄN</t>
        </is>
      </c>
      <c r="E2297" t="inlineStr">
        <is>
          <t>LIDKÖPING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62130-2019</t>
        </is>
      </c>
      <c r="B2298" s="1" t="n">
        <v>43787</v>
      </c>
      <c r="C2298" s="1" t="n">
        <v>45586</v>
      </c>
      <c r="D2298" t="inlineStr">
        <is>
          <t>VÄSTRA GÖTALANDS LÄN</t>
        </is>
      </c>
      <c r="E2298" t="inlineStr">
        <is>
          <t>ALE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61979-2019</t>
        </is>
      </c>
      <c r="B2299" s="1" t="n">
        <v>43787</v>
      </c>
      <c r="C2299" s="1" t="n">
        <v>45586</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62002-2019</t>
        </is>
      </c>
      <c r="B2300" s="1" t="n">
        <v>43787</v>
      </c>
      <c r="C2300" s="1" t="n">
        <v>45586</v>
      </c>
      <c r="D2300" t="inlineStr">
        <is>
          <t>VÄSTRA GÖTALANDS LÄN</t>
        </is>
      </c>
      <c r="E2300" t="inlineStr">
        <is>
          <t>GRÄSTORP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62095-2019</t>
        </is>
      </c>
      <c r="B2301" s="1" t="n">
        <v>43787</v>
      </c>
      <c r="C2301" s="1" t="n">
        <v>45586</v>
      </c>
      <c r="D2301" t="inlineStr">
        <is>
          <t>VÄSTRA GÖTALANDS LÄN</t>
        </is>
      </c>
      <c r="E2301" t="inlineStr">
        <is>
          <t>ÅMÅL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62146-2019</t>
        </is>
      </c>
      <c r="B2302" s="1" t="n">
        <v>43787</v>
      </c>
      <c r="C2302" s="1" t="n">
        <v>45586</v>
      </c>
      <c r="D2302" t="inlineStr">
        <is>
          <t>VÄSTRA GÖTALANDS LÄN</t>
        </is>
      </c>
      <c r="E2302" t="inlineStr">
        <is>
          <t>DALS-ED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62144-2019</t>
        </is>
      </c>
      <c r="B2303" s="1" t="n">
        <v>43787</v>
      </c>
      <c r="C2303" s="1" t="n">
        <v>45586</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61911-2019</t>
        </is>
      </c>
      <c r="B2304" s="1" t="n">
        <v>43787</v>
      </c>
      <c r="C2304" s="1" t="n">
        <v>45586</v>
      </c>
      <c r="D2304" t="inlineStr">
        <is>
          <t>VÄSTRA GÖTALANDS LÄN</t>
        </is>
      </c>
      <c r="E2304" t="inlineStr">
        <is>
          <t>VARA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62086-2019</t>
        </is>
      </c>
      <c r="B2305" s="1" t="n">
        <v>43787</v>
      </c>
      <c r="C2305" s="1" t="n">
        <v>45586</v>
      </c>
      <c r="D2305" t="inlineStr">
        <is>
          <t>VÄSTRA GÖTALANDS LÄN</t>
        </is>
      </c>
      <c r="E2305" t="inlineStr">
        <is>
          <t>ÅMÅL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62018-2019</t>
        </is>
      </c>
      <c r="B2306" s="1" t="n">
        <v>43787</v>
      </c>
      <c r="C2306" s="1" t="n">
        <v>45586</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63317-2019</t>
        </is>
      </c>
      <c r="B2307" s="1" t="n">
        <v>43787</v>
      </c>
      <c r="C2307" s="1" t="n">
        <v>45586</v>
      </c>
      <c r="D2307" t="inlineStr">
        <is>
          <t>VÄSTRA GÖTALANDS LÄN</t>
        </is>
      </c>
      <c r="E2307" t="inlineStr">
        <is>
          <t>DALS-ED</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61982-2019</t>
        </is>
      </c>
      <c r="B2308" s="1" t="n">
        <v>43787</v>
      </c>
      <c r="C2308" s="1" t="n">
        <v>45586</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62279-2019</t>
        </is>
      </c>
      <c r="B2309" s="1" t="n">
        <v>43788</v>
      </c>
      <c r="C2309" s="1" t="n">
        <v>45586</v>
      </c>
      <c r="D2309" t="inlineStr">
        <is>
          <t>VÄSTRA GÖTALANDS LÄN</t>
        </is>
      </c>
      <c r="E2309" t="inlineStr">
        <is>
          <t>SVENLJUNGA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62306-2019</t>
        </is>
      </c>
      <c r="B2310" s="1" t="n">
        <v>43788</v>
      </c>
      <c r="C2310" s="1" t="n">
        <v>45586</v>
      </c>
      <c r="D2310" t="inlineStr">
        <is>
          <t>VÄSTRA GÖTALANDS LÄN</t>
        </is>
      </c>
      <c r="E2310" t="inlineStr">
        <is>
          <t>FÄRGELANDA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62362-2019</t>
        </is>
      </c>
      <c r="B2311" s="1" t="n">
        <v>43788</v>
      </c>
      <c r="C2311" s="1" t="n">
        <v>45586</v>
      </c>
      <c r="D2311" t="inlineStr">
        <is>
          <t>VÄSTRA GÖTALANDS LÄN</t>
        </is>
      </c>
      <c r="E2311" t="inlineStr">
        <is>
          <t>BORÅS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62223-2019</t>
        </is>
      </c>
      <c r="B2312" s="1" t="n">
        <v>43788</v>
      </c>
      <c r="C2312" s="1" t="n">
        <v>45586</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62280-2019</t>
        </is>
      </c>
      <c r="B2313" s="1" t="n">
        <v>43788</v>
      </c>
      <c r="C2313" s="1" t="n">
        <v>45586</v>
      </c>
      <c r="D2313" t="inlineStr">
        <is>
          <t>VÄSTRA GÖTALANDS LÄN</t>
        </is>
      </c>
      <c r="E2313" t="inlineStr">
        <is>
          <t>SVENLJUNGA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62277-2019</t>
        </is>
      </c>
      <c r="B2314" s="1" t="n">
        <v>43788</v>
      </c>
      <c r="C2314" s="1" t="n">
        <v>45586</v>
      </c>
      <c r="D2314" t="inlineStr">
        <is>
          <t>VÄSTRA GÖTALANDS LÄN</t>
        </is>
      </c>
      <c r="E2314" t="inlineStr">
        <is>
          <t>DALS-ED</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62285-2019</t>
        </is>
      </c>
      <c r="B2315" s="1" t="n">
        <v>43788</v>
      </c>
      <c r="C2315" s="1" t="n">
        <v>45586</v>
      </c>
      <c r="D2315" t="inlineStr">
        <is>
          <t>VÄSTRA GÖTALANDS LÄN</t>
        </is>
      </c>
      <c r="E2315" t="inlineStr">
        <is>
          <t>MARK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62293-2019</t>
        </is>
      </c>
      <c r="B2316" s="1" t="n">
        <v>43788</v>
      </c>
      <c r="C2316" s="1" t="n">
        <v>45586</v>
      </c>
      <c r="D2316" t="inlineStr">
        <is>
          <t>VÄSTRA GÖTALANDS LÄN</t>
        </is>
      </c>
      <c r="E2316" t="inlineStr">
        <is>
          <t>MARK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62261-2019</t>
        </is>
      </c>
      <c r="B2317" s="1" t="n">
        <v>43788</v>
      </c>
      <c r="C2317" s="1" t="n">
        <v>45586</v>
      </c>
      <c r="D2317" t="inlineStr">
        <is>
          <t>VÄSTRA GÖTALANDS LÄN</t>
        </is>
      </c>
      <c r="E2317" t="inlineStr">
        <is>
          <t>LERUM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62283-2019</t>
        </is>
      </c>
      <c r="B2318" s="1" t="n">
        <v>43788</v>
      </c>
      <c r="C2318" s="1" t="n">
        <v>45586</v>
      </c>
      <c r="D2318" t="inlineStr">
        <is>
          <t>VÄSTRA GÖTALANDS LÄN</t>
        </is>
      </c>
      <c r="E2318" t="inlineStr">
        <is>
          <t>SVENLJUNGA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62287-2019</t>
        </is>
      </c>
      <c r="B2319" s="1" t="n">
        <v>43788</v>
      </c>
      <c r="C2319" s="1" t="n">
        <v>45586</v>
      </c>
      <c r="D2319" t="inlineStr">
        <is>
          <t>VÄSTRA GÖTALANDS LÄN</t>
        </is>
      </c>
      <c r="E2319" t="inlineStr">
        <is>
          <t>MARK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62386-2019</t>
        </is>
      </c>
      <c r="B2320" s="1" t="n">
        <v>43788</v>
      </c>
      <c r="C2320" s="1" t="n">
        <v>45586</v>
      </c>
      <c r="D2320" t="inlineStr">
        <is>
          <t>VÄSTRA GÖTALANDS LÄN</t>
        </is>
      </c>
      <c r="E2320" t="inlineStr">
        <is>
          <t>ORUST</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62397-2019</t>
        </is>
      </c>
      <c r="B2321" s="1" t="n">
        <v>43788</v>
      </c>
      <c r="C2321" s="1" t="n">
        <v>45586</v>
      </c>
      <c r="D2321" t="inlineStr">
        <is>
          <t>VÄSTRA GÖTALANDS LÄN</t>
        </is>
      </c>
      <c r="E2321" t="inlineStr">
        <is>
          <t>MELLERUD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62389-2019</t>
        </is>
      </c>
      <c r="B2322" s="1" t="n">
        <v>43788</v>
      </c>
      <c r="C2322" s="1" t="n">
        <v>45586</v>
      </c>
      <c r="D2322" t="inlineStr">
        <is>
          <t>VÄSTRA GÖTALANDS LÄN</t>
        </is>
      </c>
      <c r="E2322" t="inlineStr">
        <is>
          <t>ORUST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62396-2019</t>
        </is>
      </c>
      <c r="B2323" s="1" t="n">
        <v>43788</v>
      </c>
      <c r="C2323" s="1" t="n">
        <v>45586</v>
      </c>
      <c r="D2323" t="inlineStr">
        <is>
          <t>VÄSTRA GÖTALANDS LÄN</t>
        </is>
      </c>
      <c r="E2323" t="inlineStr">
        <is>
          <t>MELLERUD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62403-2019</t>
        </is>
      </c>
      <c r="B2324" s="1" t="n">
        <v>43788</v>
      </c>
      <c r="C2324" s="1" t="n">
        <v>45586</v>
      </c>
      <c r="D2324" t="inlineStr">
        <is>
          <t>VÄSTRA GÖTALANDS LÄN</t>
        </is>
      </c>
      <c r="E2324" t="inlineStr">
        <is>
          <t>MÖLNDAL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62446-2019</t>
        </is>
      </c>
      <c r="B2325" s="1" t="n">
        <v>43788</v>
      </c>
      <c r="C2325" s="1" t="n">
        <v>45586</v>
      </c>
      <c r="D2325" t="inlineStr">
        <is>
          <t>VÄSTRA GÖTALANDS LÄN</t>
        </is>
      </c>
      <c r="E2325" t="inlineStr">
        <is>
          <t>FALKÖPING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63716-2019</t>
        </is>
      </c>
      <c r="B2326" s="1" t="n">
        <v>43788</v>
      </c>
      <c r="C2326" s="1" t="n">
        <v>45586</v>
      </c>
      <c r="D2326" t="inlineStr">
        <is>
          <t>VÄSTRA GÖTALANDS LÄN</t>
        </is>
      </c>
      <c r="E2326" t="inlineStr">
        <is>
          <t>TANUM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62350-2019</t>
        </is>
      </c>
      <c r="B2327" s="1" t="n">
        <v>43788</v>
      </c>
      <c r="C2327" s="1" t="n">
        <v>45586</v>
      </c>
      <c r="D2327" t="inlineStr">
        <is>
          <t>VÄSTRA GÖTALANDS LÄN</t>
        </is>
      </c>
      <c r="E2327" t="inlineStr">
        <is>
          <t>BORÅS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62543-2019</t>
        </is>
      </c>
      <c r="B2328" s="1" t="n">
        <v>43789</v>
      </c>
      <c r="C2328" s="1" t="n">
        <v>45586</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62685-2019</t>
        </is>
      </c>
      <c r="B2329" s="1" t="n">
        <v>43789</v>
      </c>
      <c r="C2329" s="1" t="n">
        <v>45586</v>
      </c>
      <c r="D2329" t="inlineStr">
        <is>
          <t>VÄSTRA GÖTALANDS LÄN</t>
        </is>
      </c>
      <c r="E2329" t="inlineStr">
        <is>
          <t>ULRICEHAMN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63598-2019</t>
        </is>
      </c>
      <c r="B2330" s="1" t="n">
        <v>43789</v>
      </c>
      <c r="C2330" s="1" t="n">
        <v>45586</v>
      </c>
      <c r="D2330" t="inlineStr">
        <is>
          <t>VÄSTRA GÖTALANDS LÄN</t>
        </is>
      </c>
      <c r="E2330" t="inlineStr">
        <is>
          <t>MARIESTAD</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63694-2019</t>
        </is>
      </c>
      <c r="B2331" s="1" t="n">
        <v>43789</v>
      </c>
      <c r="C2331" s="1" t="n">
        <v>45586</v>
      </c>
      <c r="D2331" t="inlineStr">
        <is>
          <t>VÄSTRA GÖTALANDS LÄN</t>
        </is>
      </c>
      <c r="E2331" t="inlineStr">
        <is>
          <t>MARIESTAD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62684-2019</t>
        </is>
      </c>
      <c r="B2332" s="1" t="n">
        <v>43789</v>
      </c>
      <c r="C2332" s="1" t="n">
        <v>45586</v>
      </c>
      <c r="D2332" t="inlineStr">
        <is>
          <t>VÄSTRA GÖTALANDS LÄN</t>
        </is>
      </c>
      <c r="E2332" t="inlineStr">
        <is>
          <t>TIBRO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62762-2019</t>
        </is>
      </c>
      <c r="B2333" s="1" t="n">
        <v>43790</v>
      </c>
      <c r="C2333" s="1" t="n">
        <v>45586</v>
      </c>
      <c r="D2333" t="inlineStr">
        <is>
          <t>VÄSTRA GÖTALANDS LÄN</t>
        </is>
      </c>
      <c r="E2333" t="inlineStr">
        <is>
          <t>FALKÖPING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62749-2019</t>
        </is>
      </c>
      <c r="B2334" s="1" t="n">
        <v>43790</v>
      </c>
      <c r="C2334" s="1" t="n">
        <v>45586</v>
      </c>
      <c r="D2334" t="inlineStr">
        <is>
          <t>VÄSTRA GÖTALANDS LÄN</t>
        </is>
      </c>
      <c r="E2334" t="inlineStr">
        <is>
          <t>TROLLHÄTTAN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62953-2019</t>
        </is>
      </c>
      <c r="B2335" s="1" t="n">
        <v>43790</v>
      </c>
      <c r="C2335" s="1" t="n">
        <v>45586</v>
      </c>
      <c r="D2335" t="inlineStr">
        <is>
          <t>VÄSTRA GÖTALANDS LÄN</t>
        </is>
      </c>
      <c r="E2335" t="inlineStr">
        <is>
          <t>UDDEVALLA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62967-2019</t>
        </is>
      </c>
      <c r="B2336" s="1" t="n">
        <v>43790</v>
      </c>
      <c r="C2336" s="1" t="n">
        <v>45586</v>
      </c>
      <c r="D2336" t="inlineStr">
        <is>
          <t>VÄSTRA GÖTALANDS LÄN</t>
        </is>
      </c>
      <c r="E2336" t="inlineStr">
        <is>
          <t>SKARA</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62891-2019</t>
        </is>
      </c>
      <c r="B2337" s="1" t="n">
        <v>43790</v>
      </c>
      <c r="C2337" s="1" t="n">
        <v>45586</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62949-2019</t>
        </is>
      </c>
      <c r="B2338" s="1" t="n">
        <v>43790</v>
      </c>
      <c r="C2338" s="1" t="n">
        <v>45586</v>
      </c>
      <c r="D2338" t="inlineStr">
        <is>
          <t>VÄSTRA GÖTALANDS LÄN</t>
        </is>
      </c>
      <c r="E2338" t="inlineStr">
        <is>
          <t>TROLLHÄTTAN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62907-2019</t>
        </is>
      </c>
      <c r="B2339" s="1" t="n">
        <v>43790</v>
      </c>
      <c r="C2339" s="1" t="n">
        <v>45586</v>
      </c>
      <c r="D2339" t="inlineStr">
        <is>
          <t>VÄSTRA GÖTALANDS LÄN</t>
        </is>
      </c>
      <c r="E2339" t="inlineStr">
        <is>
          <t>STRÖMSTAD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62969-2019</t>
        </is>
      </c>
      <c r="B2340" s="1" t="n">
        <v>43790</v>
      </c>
      <c r="C2340" s="1" t="n">
        <v>45586</v>
      </c>
      <c r="D2340" t="inlineStr">
        <is>
          <t>VÄSTRA GÖTALANDS LÄN</t>
        </is>
      </c>
      <c r="E2340" t="inlineStr">
        <is>
          <t>LIDKÖPING</t>
        </is>
      </c>
      <c r="F2340" t="inlineStr">
        <is>
          <t>Kyrkan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62881-2019</t>
        </is>
      </c>
      <c r="B2341" s="1" t="n">
        <v>43790</v>
      </c>
      <c r="C2341" s="1" t="n">
        <v>45586</v>
      </c>
      <c r="D2341" t="inlineStr">
        <is>
          <t>VÄSTRA GÖTALANDS LÄN</t>
        </is>
      </c>
      <c r="E2341" t="inlineStr">
        <is>
          <t>GÖTENE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62944-2019</t>
        </is>
      </c>
      <c r="B2342" s="1" t="n">
        <v>43790</v>
      </c>
      <c r="C2342" s="1" t="n">
        <v>45586</v>
      </c>
      <c r="D2342" t="inlineStr">
        <is>
          <t>VÄSTRA GÖTALANDS LÄN</t>
        </is>
      </c>
      <c r="E2342" t="inlineStr">
        <is>
          <t>TIDAHOLM</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62996-2019</t>
        </is>
      </c>
      <c r="B2343" s="1" t="n">
        <v>43790</v>
      </c>
      <c r="C2343" s="1" t="n">
        <v>45586</v>
      </c>
      <c r="D2343" t="inlineStr">
        <is>
          <t>VÄSTRA GÖTALANDS LÄN</t>
        </is>
      </c>
      <c r="E2343" t="inlineStr">
        <is>
          <t>ALINGSÅS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62992-2019</t>
        </is>
      </c>
      <c r="B2344" s="1" t="n">
        <v>43790</v>
      </c>
      <c r="C2344" s="1" t="n">
        <v>45586</v>
      </c>
      <c r="D2344" t="inlineStr">
        <is>
          <t>VÄSTRA GÖTALANDS LÄN</t>
        </is>
      </c>
      <c r="E2344" t="inlineStr">
        <is>
          <t>FALKÖPING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63030-2019</t>
        </is>
      </c>
      <c r="B2345" s="1" t="n">
        <v>43790</v>
      </c>
      <c r="C2345" s="1" t="n">
        <v>45586</v>
      </c>
      <c r="D2345" t="inlineStr">
        <is>
          <t>VÄSTRA GÖTALANDS LÄN</t>
        </is>
      </c>
      <c r="E2345" t="inlineStr">
        <is>
          <t>STRÖMSTAD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63021-2019</t>
        </is>
      </c>
      <c r="B2346" s="1" t="n">
        <v>43791</v>
      </c>
      <c r="C2346" s="1" t="n">
        <v>45586</v>
      </c>
      <c r="D2346" t="inlineStr">
        <is>
          <t>VÄSTRA GÖTALANDS LÄN</t>
        </is>
      </c>
      <c r="E2346" t="inlineStr">
        <is>
          <t>FALKÖPING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63018-2019</t>
        </is>
      </c>
      <c r="B2347" s="1" t="n">
        <v>43791</v>
      </c>
      <c r="C2347" s="1" t="n">
        <v>45586</v>
      </c>
      <c r="D2347" t="inlineStr">
        <is>
          <t>VÄSTRA GÖTALANDS LÄN</t>
        </is>
      </c>
      <c r="E2347" t="inlineStr">
        <is>
          <t>SKÖVDE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63020-2019</t>
        </is>
      </c>
      <c r="B2348" s="1" t="n">
        <v>43791</v>
      </c>
      <c r="C2348" s="1" t="n">
        <v>45586</v>
      </c>
      <c r="D2348" t="inlineStr">
        <is>
          <t>VÄSTRA GÖTALANDS LÄN</t>
        </is>
      </c>
      <c r="E2348" t="inlineStr">
        <is>
          <t>SKÖVDE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63173-2019</t>
        </is>
      </c>
      <c r="B2349" s="1" t="n">
        <v>43791</v>
      </c>
      <c r="C2349" s="1" t="n">
        <v>45586</v>
      </c>
      <c r="D2349" t="inlineStr">
        <is>
          <t>VÄSTRA GÖTALANDS LÄN</t>
        </is>
      </c>
      <c r="E2349" t="inlineStr">
        <is>
          <t>MUNKEDAL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63062-2019</t>
        </is>
      </c>
      <c r="B2350" s="1" t="n">
        <v>43791</v>
      </c>
      <c r="C2350" s="1" t="n">
        <v>45586</v>
      </c>
      <c r="D2350" t="inlineStr">
        <is>
          <t>VÄSTRA GÖTALANDS LÄN</t>
        </is>
      </c>
      <c r="E2350" t="inlineStr">
        <is>
          <t>BORÅS</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63088-2019</t>
        </is>
      </c>
      <c r="B2351" s="1" t="n">
        <v>43791</v>
      </c>
      <c r="C2351" s="1" t="n">
        <v>45586</v>
      </c>
      <c r="D2351" t="inlineStr">
        <is>
          <t>VÄSTRA GÖTALANDS LÄN</t>
        </is>
      </c>
      <c r="E2351" t="inlineStr">
        <is>
          <t>SVENLJUNGA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63205-2019</t>
        </is>
      </c>
      <c r="B2352" s="1" t="n">
        <v>43791</v>
      </c>
      <c r="C2352" s="1" t="n">
        <v>45586</v>
      </c>
      <c r="D2352" t="inlineStr">
        <is>
          <t>VÄSTRA GÖTALANDS LÄN</t>
        </is>
      </c>
      <c r="E2352" t="inlineStr">
        <is>
          <t>TRANEMO</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64507-2019</t>
        </is>
      </c>
      <c r="B2353" s="1" t="n">
        <v>43793</v>
      </c>
      <c r="C2353" s="1" t="n">
        <v>45586</v>
      </c>
      <c r="D2353" t="inlineStr">
        <is>
          <t>VÄSTRA GÖTALANDS LÄN</t>
        </is>
      </c>
      <c r="E2353" t="inlineStr">
        <is>
          <t>TANUM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64359-2019</t>
        </is>
      </c>
      <c r="B2354" s="1" t="n">
        <v>43793</v>
      </c>
      <c r="C2354" s="1" t="n">
        <v>45586</v>
      </c>
      <c r="D2354" t="inlineStr">
        <is>
          <t>VÄSTRA GÖTALANDS LÄN</t>
        </is>
      </c>
      <c r="E2354" t="inlineStr">
        <is>
          <t>STRÖMSTAD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63248-2019</t>
        </is>
      </c>
      <c r="B2355" s="1" t="n">
        <v>43793</v>
      </c>
      <c r="C2355" s="1" t="n">
        <v>45586</v>
      </c>
      <c r="D2355" t="inlineStr">
        <is>
          <t>VÄSTRA GÖTALANDS LÄN</t>
        </is>
      </c>
      <c r="E2355" t="inlineStr">
        <is>
          <t>FÄRGELANDA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63364-2019</t>
        </is>
      </c>
      <c r="B2356" s="1" t="n">
        <v>43794</v>
      </c>
      <c r="C2356" s="1" t="n">
        <v>45586</v>
      </c>
      <c r="D2356" t="inlineStr">
        <is>
          <t>VÄSTRA GÖTALANDS LÄN</t>
        </is>
      </c>
      <c r="E2356" t="inlineStr">
        <is>
          <t>KARLSBORG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63363-2019</t>
        </is>
      </c>
      <c r="B2357" s="1" t="n">
        <v>43794</v>
      </c>
      <c r="C2357" s="1" t="n">
        <v>45586</v>
      </c>
      <c r="D2357" t="inlineStr">
        <is>
          <t>VÄSTRA GÖTALANDS LÄN</t>
        </is>
      </c>
      <c r="E2357" t="inlineStr">
        <is>
          <t>KARLSBORG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63365-2019</t>
        </is>
      </c>
      <c r="B2358" s="1" t="n">
        <v>43794</v>
      </c>
      <c r="C2358" s="1" t="n">
        <v>45586</v>
      </c>
      <c r="D2358" t="inlineStr">
        <is>
          <t>VÄSTRA GÖTALANDS LÄN</t>
        </is>
      </c>
      <c r="E2358" t="inlineStr">
        <is>
          <t>KARLSBORG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63526-2019</t>
        </is>
      </c>
      <c r="B2359" s="1" t="n">
        <v>43794</v>
      </c>
      <c r="C2359" s="1" t="n">
        <v>45586</v>
      </c>
      <c r="D2359" t="inlineStr">
        <is>
          <t>VÄSTRA GÖTALANDS LÄN</t>
        </is>
      </c>
      <c r="E2359" t="inlineStr">
        <is>
          <t>STRÖMSTAD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64599-2019</t>
        </is>
      </c>
      <c r="B2360" s="1" t="n">
        <v>43794</v>
      </c>
      <c r="C2360" s="1" t="n">
        <v>45586</v>
      </c>
      <c r="D2360" t="inlineStr">
        <is>
          <t>VÄSTRA GÖTALANDS LÄN</t>
        </is>
      </c>
      <c r="E2360" t="inlineStr">
        <is>
          <t>MUNKEDAL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63367-2019</t>
        </is>
      </c>
      <c r="B2361" s="1" t="n">
        <v>43794</v>
      </c>
      <c r="C2361" s="1" t="n">
        <v>45586</v>
      </c>
      <c r="D2361" t="inlineStr">
        <is>
          <t>VÄSTRA GÖTALANDS LÄN</t>
        </is>
      </c>
      <c r="E2361" t="inlineStr">
        <is>
          <t>KARLSBORG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63272-2019</t>
        </is>
      </c>
      <c r="B2362" s="1" t="n">
        <v>43794</v>
      </c>
      <c r="C2362" s="1" t="n">
        <v>45586</v>
      </c>
      <c r="D2362" t="inlineStr">
        <is>
          <t>VÄSTRA GÖTALANDS LÄN</t>
        </is>
      </c>
      <c r="E2362" t="inlineStr">
        <is>
          <t>SKÖVDE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64333-2019</t>
        </is>
      </c>
      <c r="B2363" s="1" t="n">
        <v>43794</v>
      </c>
      <c r="C2363" s="1" t="n">
        <v>45586</v>
      </c>
      <c r="D2363" t="inlineStr">
        <is>
          <t>VÄSTRA GÖTALANDS LÄN</t>
        </is>
      </c>
      <c r="E2363" t="inlineStr">
        <is>
          <t>GÖTENE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63542-2019</t>
        </is>
      </c>
      <c r="B2364" s="1" t="n">
        <v>43794</v>
      </c>
      <c r="C2364" s="1" t="n">
        <v>45586</v>
      </c>
      <c r="D2364" t="inlineStr">
        <is>
          <t>VÄSTRA GÖTALANDS LÄN</t>
        </is>
      </c>
      <c r="E2364" t="inlineStr">
        <is>
          <t>ALINGSÅS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64602-2019</t>
        </is>
      </c>
      <c r="B2365" s="1" t="n">
        <v>43794</v>
      </c>
      <c r="C2365" s="1" t="n">
        <v>45586</v>
      </c>
      <c r="D2365" t="inlineStr">
        <is>
          <t>VÄSTRA GÖTALANDS LÄN</t>
        </is>
      </c>
      <c r="E2365" t="inlineStr">
        <is>
          <t>TANUM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64665-2019</t>
        </is>
      </c>
      <c r="B2366" s="1" t="n">
        <v>43794</v>
      </c>
      <c r="C2366" s="1" t="n">
        <v>45586</v>
      </c>
      <c r="D2366" t="inlineStr">
        <is>
          <t>VÄSTRA GÖTALANDS LÄN</t>
        </is>
      </c>
      <c r="E2366" t="inlineStr">
        <is>
          <t>BENGTSFORS</t>
        </is>
      </c>
      <c r="F2366" t="inlineStr">
        <is>
          <t>Övriga Aktiebolag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63645-2019</t>
        </is>
      </c>
      <c r="B2367" s="1" t="n">
        <v>43795</v>
      </c>
      <c r="C2367" s="1" t="n">
        <v>45586</v>
      </c>
      <c r="D2367" t="inlineStr">
        <is>
          <t>VÄSTRA GÖTALANDS LÄN</t>
        </is>
      </c>
      <c r="E2367" t="inlineStr">
        <is>
          <t>ESSUNGA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63705-2019</t>
        </is>
      </c>
      <c r="B2368" s="1" t="n">
        <v>43795</v>
      </c>
      <c r="C2368" s="1" t="n">
        <v>45586</v>
      </c>
      <c r="D2368" t="inlineStr">
        <is>
          <t>VÄSTRA GÖTALANDS LÄN</t>
        </is>
      </c>
      <c r="E2368" t="inlineStr">
        <is>
          <t>ALINGSÅS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63723-2019</t>
        </is>
      </c>
      <c r="B2369" s="1" t="n">
        <v>43795</v>
      </c>
      <c r="C2369" s="1" t="n">
        <v>45586</v>
      </c>
      <c r="D2369" t="inlineStr">
        <is>
          <t>VÄSTRA GÖTALANDS LÄN</t>
        </is>
      </c>
      <c r="E2369" t="inlineStr">
        <is>
          <t>BORÅS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63791-2019</t>
        </is>
      </c>
      <c r="B2370" s="1" t="n">
        <v>43795</v>
      </c>
      <c r="C2370" s="1" t="n">
        <v>45586</v>
      </c>
      <c r="D2370" t="inlineStr">
        <is>
          <t>VÄSTRA GÖTALANDS LÄN</t>
        </is>
      </c>
      <c r="E2370" t="inlineStr">
        <is>
          <t>ULRICEHAMN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63660-2019</t>
        </is>
      </c>
      <c r="B2371" s="1" t="n">
        <v>43795</v>
      </c>
      <c r="C2371" s="1" t="n">
        <v>45586</v>
      </c>
      <c r="D2371" t="inlineStr">
        <is>
          <t>VÄSTRA GÖTALANDS LÄN</t>
        </is>
      </c>
      <c r="E2371" t="inlineStr">
        <is>
          <t>SKÖVDE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63599-2019</t>
        </is>
      </c>
      <c r="B2372" s="1" t="n">
        <v>43795</v>
      </c>
      <c r="C2372" s="1" t="n">
        <v>45586</v>
      </c>
      <c r="D2372" t="inlineStr">
        <is>
          <t>VÄSTRA GÖTALANDS LÄN</t>
        </is>
      </c>
      <c r="E2372" t="inlineStr">
        <is>
          <t>TANUM</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63700-2019</t>
        </is>
      </c>
      <c r="B2373" s="1" t="n">
        <v>43795</v>
      </c>
      <c r="C2373" s="1" t="n">
        <v>45586</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63790-2019</t>
        </is>
      </c>
      <c r="B2374" s="1" t="n">
        <v>43795</v>
      </c>
      <c r="C2374" s="1" t="n">
        <v>45586</v>
      </c>
      <c r="D2374" t="inlineStr">
        <is>
          <t>VÄSTRA GÖTALANDS LÄN</t>
        </is>
      </c>
      <c r="E2374" t="inlineStr">
        <is>
          <t>TIDAHOLM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63799-2019</t>
        </is>
      </c>
      <c r="B2375" s="1" t="n">
        <v>43795</v>
      </c>
      <c r="C2375" s="1" t="n">
        <v>45586</v>
      </c>
      <c r="D2375" t="inlineStr">
        <is>
          <t>VÄSTRA GÖTALANDS LÄN</t>
        </is>
      </c>
      <c r="E2375" t="inlineStr">
        <is>
          <t>ULRICEHAMN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63590-2019</t>
        </is>
      </c>
      <c r="B2376" s="1" t="n">
        <v>43795</v>
      </c>
      <c r="C2376" s="1" t="n">
        <v>45586</v>
      </c>
      <c r="D2376" t="inlineStr">
        <is>
          <t>VÄSTRA GÖTALANDS LÄN</t>
        </is>
      </c>
      <c r="E2376" t="inlineStr">
        <is>
          <t>UDDEVALLA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63621-2019</t>
        </is>
      </c>
      <c r="B2377" s="1" t="n">
        <v>43795</v>
      </c>
      <c r="C2377" s="1" t="n">
        <v>45586</v>
      </c>
      <c r="D2377" t="inlineStr">
        <is>
          <t>VÄSTRA GÖTALANDS LÄN</t>
        </is>
      </c>
      <c r="E2377" t="inlineStr">
        <is>
          <t>LIDKÖPING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63828-2019</t>
        </is>
      </c>
      <c r="B2378" s="1" t="n">
        <v>43795</v>
      </c>
      <c r="C2378" s="1" t="n">
        <v>45586</v>
      </c>
      <c r="D2378" t="inlineStr">
        <is>
          <t>VÄSTRA GÖTALANDS LÄN</t>
        </is>
      </c>
      <c r="E2378" t="inlineStr">
        <is>
          <t>SVENLJUNGA</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64800-2019</t>
        </is>
      </c>
      <c r="B2379" s="1" t="n">
        <v>43795</v>
      </c>
      <c r="C2379" s="1" t="n">
        <v>45586</v>
      </c>
      <c r="D2379" t="inlineStr">
        <is>
          <t>VÄSTRA GÖTALANDS LÄN</t>
        </is>
      </c>
      <c r="E2379" t="inlineStr">
        <is>
          <t>LIDKÖPING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64824-2019</t>
        </is>
      </c>
      <c r="B2380" s="1" t="n">
        <v>43795</v>
      </c>
      <c r="C2380" s="1" t="n">
        <v>45586</v>
      </c>
      <c r="D2380" t="inlineStr">
        <is>
          <t>VÄSTRA GÖTALANDS LÄN</t>
        </is>
      </c>
      <c r="E2380" t="inlineStr">
        <is>
          <t>STRÖMSTAD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64807-2019</t>
        </is>
      </c>
      <c r="B2381" s="1" t="n">
        <v>43795</v>
      </c>
      <c r="C2381" s="1" t="n">
        <v>45586</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64802-2019</t>
        </is>
      </c>
      <c r="B2382" s="1" t="n">
        <v>43795</v>
      </c>
      <c r="C2382" s="1" t="n">
        <v>45586</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64924-2019</t>
        </is>
      </c>
      <c r="B2383" s="1" t="n">
        <v>43795</v>
      </c>
      <c r="C2383" s="1" t="n">
        <v>45586</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64810-2019</t>
        </is>
      </c>
      <c r="B2384" s="1" t="n">
        <v>43795</v>
      </c>
      <c r="C2384" s="1" t="n">
        <v>45586</v>
      </c>
      <c r="D2384" t="inlineStr">
        <is>
          <t>VÄSTRA GÖTALANDS LÄN</t>
        </is>
      </c>
      <c r="E2384" t="inlineStr">
        <is>
          <t>LIDKÖPING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63792-2019</t>
        </is>
      </c>
      <c r="B2385" s="1" t="n">
        <v>43795</v>
      </c>
      <c r="C2385" s="1" t="n">
        <v>45586</v>
      </c>
      <c r="D2385" t="inlineStr">
        <is>
          <t>VÄSTRA GÖTALANDS LÄN</t>
        </is>
      </c>
      <c r="E2385" t="inlineStr">
        <is>
          <t>TIDAHOLM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64921-2019</t>
        </is>
      </c>
      <c r="B2386" s="1" t="n">
        <v>43795</v>
      </c>
      <c r="C2386" s="1" t="n">
        <v>45586</v>
      </c>
      <c r="D2386" t="inlineStr">
        <is>
          <t>VÄSTRA GÖTALANDS LÄN</t>
        </is>
      </c>
      <c r="E2386" t="inlineStr">
        <is>
          <t>TANUM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64878-2019</t>
        </is>
      </c>
      <c r="B2387" s="1" t="n">
        <v>43795</v>
      </c>
      <c r="C2387" s="1" t="n">
        <v>45586</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63687-2019</t>
        </is>
      </c>
      <c r="B2388" s="1" t="n">
        <v>43795</v>
      </c>
      <c r="C2388" s="1" t="n">
        <v>45586</v>
      </c>
      <c r="D2388" t="inlineStr">
        <is>
          <t>VÄSTRA GÖTALANDS LÄN</t>
        </is>
      </c>
      <c r="E2388" t="inlineStr">
        <is>
          <t>VÅRGÅRDA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63868-2019</t>
        </is>
      </c>
      <c r="B2389" s="1" t="n">
        <v>43796</v>
      </c>
      <c r="C2389" s="1" t="n">
        <v>45586</v>
      </c>
      <c r="D2389" t="inlineStr">
        <is>
          <t>VÄSTRA GÖTALANDS LÄN</t>
        </is>
      </c>
      <c r="E2389" t="inlineStr">
        <is>
          <t>LIDKÖPING</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63889-2019</t>
        </is>
      </c>
      <c r="B2390" s="1" t="n">
        <v>43796</v>
      </c>
      <c r="C2390" s="1" t="n">
        <v>45586</v>
      </c>
      <c r="D2390" t="inlineStr">
        <is>
          <t>VÄSTRA GÖTALANDS LÄN</t>
        </is>
      </c>
      <c r="E2390" t="inlineStr">
        <is>
          <t>VARA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63964-2019</t>
        </is>
      </c>
      <c r="B2391" s="1" t="n">
        <v>43796</v>
      </c>
      <c r="C2391" s="1" t="n">
        <v>45586</v>
      </c>
      <c r="D2391" t="inlineStr">
        <is>
          <t>VÄSTRA GÖTALANDS LÄN</t>
        </is>
      </c>
      <c r="E2391" t="inlineStr">
        <is>
          <t>FÄRGELANDA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64009-2019</t>
        </is>
      </c>
      <c r="B2392" s="1" t="n">
        <v>43796</v>
      </c>
      <c r="C2392" s="1" t="n">
        <v>45586</v>
      </c>
      <c r="D2392" t="inlineStr">
        <is>
          <t>VÄSTRA GÖTALANDS LÄN</t>
        </is>
      </c>
      <c r="E2392" t="inlineStr">
        <is>
          <t>ESSUNGA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63898-2019</t>
        </is>
      </c>
      <c r="B2393" s="1" t="n">
        <v>43796</v>
      </c>
      <c r="C2393" s="1" t="n">
        <v>45586</v>
      </c>
      <c r="D2393" t="inlineStr">
        <is>
          <t>VÄSTRA GÖTALANDS LÄN</t>
        </is>
      </c>
      <c r="E2393" t="inlineStr">
        <is>
          <t>VARA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64087-2019</t>
        </is>
      </c>
      <c r="B2394" s="1" t="n">
        <v>43796</v>
      </c>
      <c r="C2394" s="1" t="n">
        <v>45586</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64108-2019</t>
        </is>
      </c>
      <c r="B2395" s="1" t="n">
        <v>43796</v>
      </c>
      <c r="C2395" s="1" t="n">
        <v>45586</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63884-2019</t>
        </is>
      </c>
      <c r="B2396" s="1" t="n">
        <v>43796</v>
      </c>
      <c r="C2396" s="1" t="n">
        <v>45586</v>
      </c>
      <c r="D2396" t="inlineStr">
        <is>
          <t>VÄSTRA GÖTALANDS LÄN</t>
        </is>
      </c>
      <c r="E2396" t="inlineStr">
        <is>
          <t>FÄRGELANDA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64017-2019</t>
        </is>
      </c>
      <c r="B2397" s="1" t="n">
        <v>43796</v>
      </c>
      <c r="C2397" s="1" t="n">
        <v>45586</v>
      </c>
      <c r="D2397" t="inlineStr">
        <is>
          <t>VÄSTRA GÖTALANDS LÄN</t>
        </is>
      </c>
      <c r="E2397" t="inlineStr">
        <is>
          <t>ULRICEHAMN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63962-2019</t>
        </is>
      </c>
      <c r="B2398" s="1" t="n">
        <v>43796</v>
      </c>
      <c r="C2398" s="1" t="n">
        <v>45586</v>
      </c>
      <c r="D2398" t="inlineStr">
        <is>
          <t>VÄSTRA GÖTALANDS LÄN</t>
        </is>
      </c>
      <c r="E2398" t="inlineStr">
        <is>
          <t>TROLLHÄTTAN</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63903-2019</t>
        </is>
      </c>
      <c r="B2399" s="1" t="n">
        <v>43796</v>
      </c>
      <c r="C2399" s="1" t="n">
        <v>45586</v>
      </c>
      <c r="D2399" t="inlineStr">
        <is>
          <t>VÄSTRA GÖTALANDS LÄN</t>
        </is>
      </c>
      <c r="E2399" t="inlineStr">
        <is>
          <t>VARA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64012-2019</t>
        </is>
      </c>
      <c r="B2400" s="1" t="n">
        <v>43796</v>
      </c>
      <c r="C2400" s="1" t="n">
        <v>45586</v>
      </c>
      <c r="D2400" t="inlineStr">
        <is>
          <t>VÄSTRA GÖTALANDS LÄN</t>
        </is>
      </c>
      <c r="E2400" t="inlineStr">
        <is>
          <t>ULRICEHAMN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63960-2019</t>
        </is>
      </c>
      <c r="B2401" s="1" t="n">
        <v>43796</v>
      </c>
      <c r="C2401" s="1" t="n">
        <v>45586</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64230-2019</t>
        </is>
      </c>
      <c r="B2402" s="1" t="n">
        <v>43797</v>
      </c>
      <c r="C2402" s="1" t="n">
        <v>45586</v>
      </c>
      <c r="D2402" t="inlineStr">
        <is>
          <t>VÄSTRA GÖTALANDS LÄN</t>
        </is>
      </c>
      <c r="E2402" t="inlineStr">
        <is>
          <t>BENGTSFORS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64338-2019</t>
        </is>
      </c>
      <c r="B2403" s="1" t="n">
        <v>43797</v>
      </c>
      <c r="C2403" s="1" t="n">
        <v>45586</v>
      </c>
      <c r="D2403" t="inlineStr">
        <is>
          <t>VÄSTRA GÖTALANDS LÄN</t>
        </is>
      </c>
      <c r="E2403" t="inlineStr">
        <is>
          <t>STRÖMSTAD</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64369-2019</t>
        </is>
      </c>
      <c r="B2404" s="1" t="n">
        <v>43797</v>
      </c>
      <c r="C2404" s="1" t="n">
        <v>45586</v>
      </c>
      <c r="D2404" t="inlineStr">
        <is>
          <t>VÄSTRA GÖTALANDS LÄN</t>
        </is>
      </c>
      <c r="E2404" t="inlineStr">
        <is>
          <t>BORÅS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64383-2019</t>
        </is>
      </c>
      <c r="B2405" s="1" t="n">
        <v>43797</v>
      </c>
      <c r="C2405" s="1" t="n">
        <v>45586</v>
      </c>
      <c r="D2405" t="inlineStr">
        <is>
          <t>VÄSTRA GÖTALANDS LÄN</t>
        </is>
      </c>
      <c r="E2405" t="inlineStr">
        <is>
          <t>STENUNGSUND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64196-2019</t>
        </is>
      </c>
      <c r="B2406" s="1" t="n">
        <v>43797</v>
      </c>
      <c r="C2406" s="1" t="n">
        <v>45586</v>
      </c>
      <c r="D2406" t="inlineStr">
        <is>
          <t>VÄSTRA GÖTALANDS LÄN</t>
        </is>
      </c>
      <c r="E2406" t="inlineStr">
        <is>
          <t>MARK</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64279-2019</t>
        </is>
      </c>
      <c r="B2407" s="1" t="n">
        <v>43797</v>
      </c>
      <c r="C2407" s="1" t="n">
        <v>45586</v>
      </c>
      <c r="D2407" t="inlineStr">
        <is>
          <t>VÄSTRA GÖTALANDS LÄN</t>
        </is>
      </c>
      <c r="E2407" t="inlineStr">
        <is>
          <t>BENGTSFORS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64198-2019</t>
        </is>
      </c>
      <c r="B2408" s="1" t="n">
        <v>43797</v>
      </c>
      <c r="C2408" s="1" t="n">
        <v>45586</v>
      </c>
      <c r="D2408" t="inlineStr">
        <is>
          <t>VÄSTRA GÖTALANDS LÄN</t>
        </is>
      </c>
      <c r="E2408" t="inlineStr">
        <is>
          <t>MARK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64228-2019</t>
        </is>
      </c>
      <c r="B2409" s="1" t="n">
        <v>43797</v>
      </c>
      <c r="C2409" s="1" t="n">
        <v>45586</v>
      </c>
      <c r="D2409" t="inlineStr">
        <is>
          <t>VÄSTRA GÖTALANDS LÄN</t>
        </is>
      </c>
      <c r="E2409" t="inlineStr">
        <is>
          <t>BENGTSFORS</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64220-2019</t>
        </is>
      </c>
      <c r="B2410" s="1" t="n">
        <v>43797</v>
      </c>
      <c r="C2410" s="1" t="n">
        <v>45586</v>
      </c>
      <c r="D2410" t="inlineStr">
        <is>
          <t>VÄSTRA GÖTALANDS LÄN</t>
        </is>
      </c>
      <c r="E2410" t="inlineStr">
        <is>
          <t>BENGTSFORS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64274-2019</t>
        </is>
      </c>
      <c r="B2411" s="1" t="n">
        <v>43797</v>
      </c>
      <c r="C2411" s="1" t="n">
        <v>45586</v>
      </c>
      <c r="D2411" t="inlineStr">
        <is>
          <t>VÄSTRA GÖTALANDS LÄN</t>
        </is>
      </c>
      <c r="E2411" t="inlineStr">
        <is>
          <t>BENGTSFORS</t>
        </is>
      </c>
      <c r="G2411" t="n">
        <v>30.5</v>
      </c>
      <c r="H2411" t="n">
        <v>0</v>
      </c>
      <c r="I2411" t="n">
        <v>0</v>
      </c>
      <c r="J2411" t="n">
        <v>0</v>
      </c>
      <c r="K2411" t="n">
        <v>0</v>
      </c>
      <c r="L2411" t="n">
        <v>0</v>
      </c>
      <c r="M2411" t="n">
        <v>0</v>
      </c>
      <c r="N2411" t="n">
        <v>0</v>
      </c>
      <c r="O2411" t="n">
        <v>0</v>
      </c>
      <c r="P2411" t="n">
        <v>0</v>
      </c>
      <c r="Q2411" t="n">
        <v>0</v>
      </c>
      <c r="R2411" s="2" t="inlineStr"/>
    </row>
    <row r="2412" ht="15" customHeight="1">
      <c r="A2412" t="inlineStr">
        <is>
          <t>A 64381-2019</t>
        </is>
      </c>
      <c r="B2412" s="1" t="n">
        <v>43797</v>
      </c>
      <c r="C2412" s="1" t="n">
        <v>45586</v>
      </c>
      <c r="D2412" t="inlineStr">
        <is>
          <t>VÄSTRA GÖTALANDS LÄN</t>
        </is>
      </c>
      <c r="E2412" t="inlineStr">
        <is>
          <t>TROLLHÄTTAN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64556-2019</t>
        </is>
      </c>
      <c r="B2413" s="1" t="n">
        <v>43798</v>
      </c>
      <c r="C2413" s="1" t="n">
        <v>45586</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64652-2019</t>
        </is>
      </c>
      <c r="B2414" s="1" t="n">
        <v>43798</v>
      </c>
      <c r="C2414" s="1" t="n">
        <v>45586</v>
      </c>
      <c r="D2414" t="inlineStr">
        <is>
          <t>VÄSTRA GÖTALANDS LÄN</t>
        </is>
      </c>
      <c r="E2414" t="inlineStr">
        <is>
          <t>SVENLJUNGA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64663-2019</t>
        </is>
      </c>
      <c r="B2415" s="1" t="n">
        <v>43798</v>
      </c>
      <c r="C2415" s="1" t="n">
        <v>45586</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65990-2019</t>
        </is>
      </c>
      <c r="B2416" s="1" t="n">
        <v>43798</v>
      </c>
      <c r="C2416" s="1" t="n">
        <v>45586</v>
      </c>
      <c r="D2416" t="inlineStr">
        <is>
          <t>VÄSTRA GÖTALANDS LÄN</t>
        </is>
      </c>
      <c r="E2416" t="inlineStr">
        <is>
          <t>VARA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64561-2019</t>
        </is>
      </c>
      <c r="B2417" s="1" t="n">
        <v>43798</v>
      </c>
      <c r="C2417" s="1" t="n">
        <v>45586</v>
      </c>
      <c r="D2417" t="inlineStr">
        <is>
          <t>VÄSTRA GÖTALANDS LÄN</t>
        </is>
      </c>
      <c r="E2417" t="inlineStr">
        <is>
          <t>BORÅS</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64601-2019</t>
        </is>
      </c>
      <c r="B2418" s="1" t="n">
        <v>43798</v>
      </c>
      <c r="C2418" s="1" t="n">
        <v>45586</v>
      </c>
      <c r="D2418" t="inlineStr">
        <is>
          <t>VÄSTRA GÖTALANDS LÄN</t>
        </is>
      </c>
      <c r="E2418" t="inlineStr">
        <is>
          <t>TRANEMO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64681-2019</t>
        </is>
      </c>
      <c r="B2419" s="1" t="n">
        <v>43798</v>
      </c>
      <c r="C2419" s="1" t="n">
        <v>45586</v>
      </c>
      <c r="D2419" t="inlineStr">
        <is>
          <t>VÄSTRA GÖTALANDS LÄN</t>
        </is>
      </c>
      <c r="E2419" t="inlineStr">
        <is>
          <t>SVENLJUNGA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64700-2019</t>
        </is>
      </c>
      <c r="B2420" s="1" t="n">
        <v>43798</v>
      </c>
      <c r="C2420" s="1" t="n">
        <v>45586</v>
      </c>
      <c r="D2420" t="inlineStr">
        <is>
          <t>VÄSTRA GÖTALANDS LÄN</t>
        </is>
      </c>
      <c r="E2420" t="inlineStr">
        <is>
          <t>DALS-ED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65959-2019</t>
        </is>
      </c>
      <c r="B2421" s="1" t="n">
        <v>43798</v>
      </c>
      <c r="C2421" s="1" t="n">
        <v>45586</v>
      </c>
      <c r="D2421" t="inlineStr">
        <is>
          <t>VÄSTRA GÖTALANDS LÄN</t>
        </is>
      </c>
      <c r="E2421" t="inlineStr">
        <is>
          <t>FALKÖPING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66018-2019</t>
        </is>
      </c>
      <c r="B2422" s="1" t="n">
        <v>43798</v>
      </c>
      <c r="C2422" s="1" t="n">
        <v>45586</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65964-2019</t>
        </is>
      </c>
      <c r="B2423" s="1" t="n">
        <v>43798</v>
      </c>
      <c r="C2423" s="1" t="n">
        <v>45586</v>
      </c>
      <c r="D2423" t="inlineStr">
        <is>
          <t>VÄSTRA GÖTALANDS LÄN</t>
        </is>
      </c>
      <c r="E2423" t="inlineStr">
        <is>
          <t>FALKÖPING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65898-2019</t>
        </is>
      </c>
      <c r="B2424" s="1" t="n">
        <v>43798</v>
      </c>
      <c r="C2424" s="1" t="n">
        <v>45586</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65974-2019</t>
        </is>
      </c>
      <c r="B2425" s="1" t="n">
        <v>43798</v>
      </c>
      <c r="C2425" s="1" t="n">
        <v>45586</v>
      </c>
      <c r="D2425" t="inlineStr">
        <is>
          <t>VÄSTRA GÖTALANDS LÄN</t>
        </is>
      </c>
      <c r="E2425" t="inlineStr">
        <is>
          <t>ULRICEHAMN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64725-2019</t>
        </is>
      </c>
      <c r="B2426" s="1" t="n">
        <v>43800</v>
      </c>
      <c r="C2426" s="1" t="n">
        <v>45586</v>
      </c>
      <c r="D2426" t="inlineStr">
        <is>
          <t>VÄSTRA GÖTALANDS LÄN</t>
        </is>
      </c>
      <c r="E2426" t="inlineStr">
        <is>
          <t>ULRICEHAMN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64730-2019</t>
        </is>
      </c>
      <c r="B2427" s="1" t="n">
        <v>43800</v>
      </c>
      <c r="C2427" s="1" t="n">
        <v>45586</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64721-2019</t>
        </is>
      </c>
      <c r="B2428" s="1" t="n">
        <v>43800</v>
      </c>
      <c r="C2428" s="1" t="n">
        <v>45586</v>
      </c>
      <c r="D2428" t="inlineStr">
        <is>
          <t>VÄSTRA GÖTALANDS LÄN</t>
        </is>
      </c>
      <c r="E2428" t="inlineStr">
        <is>
          <t>HÄRRYDA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64722-2019</t>
        </is>
      </c>
      <c r="B2429" s="1" t="n">
        <v>43800</v>
      </c>
      <c r="C2429" s="1" t="n">
        <v>45586</v>
      </c>
      <c r="D2429" t="inlineStr">
        <is>
          <t>VÄSTRA GÖTALANDS LÄN</t>
        </is>
      </c>
      <c r="E2429" t="inlineStr">
        <is>
          <t>HÄRRYDA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64724-2019</t>
        </is>
      </c>
      <c r="B2430" s="1" t="n">
        <v>43800</v>
      </c>
      <c r="C2430" s="1" t="n">
        <v>45586</v>
      </c>
      <c r="D2430" t="inlineStr">
        <is>
          <t>VÄSTRA GÖTALANDS LÄN</t>
        </is>
      </c>
      <c r="E2430" t="inlineStr">
        <is>
          <t>HÄRRYDA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64729-2019</t>
        </is>
      </c>
      <c r="B2431" s="1" t="n">
        <v>43800</v>
      </c>
      <c r="C2431" s="1" t="n">
        <v>45586</v>
      </c>
      <c r="D2431" t="inlineStr">
        <is>
          <t>VÄSTRA GÖTALANDS LÄN</t>
        </is>
      </c>
      <c r="E2431" t="inlineStr">
        <is>
          <t>TRANEMO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64794-2019</t>
        </is>
      </c>
      <c r="B2432" s="1" t="n">
        <v>43801</v>
      </c>
      <c r="C2432" s="1" t="n">
        <v>45586</v>
      </c>
      <c r="D2432" t="inlineStr">
        <is>
          <t>VÄSTRA GÖTALANDS LÄN</t>
        </is>
      </c>
      <c r="E2432" t="inlineStr">
        <is>
          <t>HERRLJUNGA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64871-2019</t>
        </is>
      </c>
      <c r="B2433" s="1" t="n">
        <v>43801</v>
      </c>
      <c r="C2433" s="1" t="n">
        <v>45586</v>
      </c>
      <c r="D2433" t="inlineStr">
        <is>
          <t>VÄSTRA GÖTALANDS LÄN</t>
        </is>
      </c>
      <c r="E2433" t="inlineStr">
        <is>
          <t>VARA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64907-2019</t>
        </is>
      </c>
      <c r="B2434" s="1" t="n">
        <v>43801</v>
      </c>
      <c r="C2434" s="1" t="n">
        <v>45586</v>
      </c>
      <c r="D2434" t="inlineStr">
        <is>
          <t>VÄSTRA GÖTALANDS LÄN</t>
        </is>
      </c>
      <c r="E2434" t="inlineStr">
        <is>
          <t>VARA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64867-2019</t>
        </is>
      </c>
      <c r="B2435" s="1" t="n">
        <v>43801</v>
      </c>
      <c r="C2435" s="1" t="n">
        <v>45586</v>
      </c>
      <c r="D2435" t="inlineStr">
        <is>
          <t>VÄSTRA GÖTALANDS LÄN</t>
        </is>
      </c>
      <c r="E2435" t="inlineStr">
        <is>
          <t>MUNKEDAL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64939-2019</t>
        </is>
      </c>
      <c r="B2436" s="1" t="n">
        <v>43801</v>
      </c>
      <c r="C2436" s="1" t="n">
        <v>45586</v>
      </c>
      <c r="D2436" t="inlineStr">
        <is>
          <t>VÄSTRA GÖTALANDS LÄN</t>
        </is>
      </c>
      <c r="E2436" t="inlineStr">
        <is>
          <t>VÅRGÅRDA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65930-2019</t>
        </is>
      </c>
      <c r="B2437" s="1" t="n">
        <v>43801</v>
      </c>
      <c r="C2437" s="1" t="n">
        <v>45586</v>
      </c>
      <c r="D2437" t="inlineStr">
        <is>
          <t>VÄSTRA GÖTALANDS LÄN</t>
        </is>
      </c>
      <c r="E2437" t="inlineStr">
        <is>
          <t>BENGTSFORS</t>
        </is>
      </c>
      <c r="F2437" t="inlineStr">
        <is>
          <t>Kyrkan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64999-2019</t>
        </is>
      </c>
      <c r="B2438" s="1" t="n">
        <v>43801</v>
      </c>
      <c r="C2438" s="1" t="n">
        <v>45586</v>
      </c>
      <c r="D2438" t="inlineStr">
        <is>
          <t>VÄSTRA GÖTALANDS LÄN</t>
        </is>
      </c>
      <c r="E2438" t="inlineStr">
        <is>
          <t>MARK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65017-2019</t>
        </is>
      </c>
      <c r="B2439" s="1" t="n">
        <v>43801</v>
      </c>
      <c r="C2439" s="1" t="n">
        <v>45586</v>
      </c>
      <c r="D2439" t="inlineStr">
        <is>
          <t>VÄSTRA GÖTALANDS LÄN</t>
        </is>
      </c>
      <c r="E2439" t="inlineStr">
        <is>
          <t>BORÅS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65022-2019</t>
        </is>
      </c>
      <c r="B2440" s="1" t="n">
        <v>43801</v>
      </c>
      <c r="C2440" s="1" t="n">
        <v>45586</v>
      </c>
      <c r="D2440" t="inlineStr">
        <is>
          <t>VÄSTRA GÖTALANDS LÄN</t>
        </is>
      </c>
      <c r="E2440" t="inlineStr">
        <is>
          <t>LIDKÖPING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65186-2019</t>
        </is>
      </c>
      <c r="B2441" s="1" t="n">
        <v>43802</v>
      </c>
      <c r="C2441" s="1" t="n">
        <v>45586</v>
      </c>
      <c r="D2441" t="inlineStr">
        <is>
          <t>VÄSTRA GÖTALANDS LÄN</t>
        </is>
      </c>
      <c r="E2441" t="inlineStr">
        <is>
          <t>HÄRRYDA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65268-2019</t>
        </is>
      </c>
      <c r="B2442" s="1" t="n">
        <v>43802</v>
      </c>
      <c r="C2442" s="1" t="n">
        <v>45586</v>
      </c>
      <c r="D2442" t="inlineStr">
        <is>
          <t>VÄSTRA GÖTALANDS LÄN</t>
        </is>
      </c>
      <c r="E2442" t="inlineStr">
        <is>
          <t>HÄRRYDA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66343-2019</t>
        </is>
      </c>
      <c r="B2443" s="1" t="n">
        <v>43802</v>
      </c>
      <c r="C2443" s="1" t="n">
        <v>45586</v>
      </c>
      <c r="D2443" t="inlineStr">
        <is>
          <t>VÄSTRA GÖTALANDS LÄN</t>
        </is>
      </c>
      <c r="E2443" t="inlineStr">
        <is>
          <t>TIDAHOLM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66345-2019</t>
        </is>
      </c>
      <c r="B2444" s="1" t="n">
        <v>43802</v>
      </c>
      <c r="C2444" s="1" t="n">
        <v>45586</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65115-2019</t>
        </is>
      </c>
      <c r="B2445" s="1" t="n">
        <v>43802</v>
      </c>
      <c r="C2445" s="1" t="n">
        <v>45586</v>
      </c>
      <c r="D2445" t="inlineStr">
        <is>
          <t>VÄSTRA GÖTALANDS LÄN</t>
        </is>
      </c>
      <c r="E2445" t="inlineStr">
        <is>
          <t>MARIESTAD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65209-2019</t>
        </is>
      </c>
      <c r="B2446" s="1" t="n">
        <v>43802</v>
      </c>
      <c r="C2446" s="1" t="n">
        <v>45586</v>
      </c>
      <c r="D2446" t="inlineStr">
        <is>
          <t>VÄSTRA GÖTALANDS LÄN</t>
        </is>
      </c>
      <c r="E2446" t="inlineStr">
        <is>
          <t>ALINGSÅS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65361-2019</t>
        </is>
      </c>
      <c r="B2447" s="1" t="n">
        <v>43803</v>
      </c>
      <c r="C2447" s="1" t="n">
        <v>45586</v>
      </c>
      <c r="D2447" t="inlineStr">
        <is>
          <t>VÄSTRA GÖTALANDS LÄN</t>
        </is>
      </c>
      <c r="E2447" t="inlineStr">
        <is>
          <t>BENGTSFORS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65453-2019</t>
        </is>
      </c>
      <c r="B2448" s="1" t="n">
        <v>43803</v>
      </c>
      <c r="C2448" s="1" t="n">
        <v>45586</v>
      </c>
      <c r="D2448" t="inlineStr">
        <is>
          <t>VÄSTRA GÖTALANDS LÄN</t>
        </is>
      </c>
      <c r="E2448" t="inlineStr">
        <is>
          <t>BENGTSFORS</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65411-2019</t>
        </is>
      </c>
      <c r="B2449" s="1" t="n">
        <v>43803</v>
      </c>
      <c r="C2449" s="1" t="n">
        <v>45586</v>
      </c>
      <c r="D2449" t="inlineStr">
        <is>
          <t>VÄSTRA GÖTALANDS LÄN</t>
        </is>
      </c>
      <c r="E2449" t="inlineStr">
        <is>
          <t>HJO</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65472-2019</t>
        </is>
      </c>
      <c r="B2450" s="1" t="n">
        <v>43803</v>
      </c>
      <c r="C2450" s="1" t="n">
        <v>45586</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65519-2019</t>
        </is>
      </c>
      <c r="B2451" s="1" t="n">
        <v>43803</v>
      </c>
      <c r="C2451" s="1" t="n">
        <v>45586</v>
      </c>
      <c r="D2451" t="inlineStr">
        <is>
          <t>VÄSTRA GÖTALANDS LÄN</t>
        </is>
      </c>
      <c r="E2451" t="inlineStr">
        <is>
          <t>SVENLJUNGA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65543-2019</t>
        </is>
      </c>
      <c r="B2452" s="1" t="n">
        <v>43803</v>
      </c>
      <c r="C2452" s="1" t="n">
        <v>45586</v>
      </c>
      <c r="D2452" t="inlineStr">
        <is>
          <t>VÄSTRA GÖTALANDS LÄN</t>
        </is>
      </c>
      <c r="E2452" t="inlineStr">
        <is>
          <t>GRÄSTORP</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66579-2019</t>
        </is>
      </c>
      <c r="B2453" s="1" t="n">
        <v>43803</v>
      </c>
      <c r="C2453" s="1" t="n">
        <v>45586</v>
      </c>
      <c r="D2453" t="inlineStr">
        <is>
          <t>VÄSTRA GÖTALANDS LÄN</t>
        </is>
      </c>
      <c r="E2453" t="inlineStr">
        <is>
          <t>GULLSPÅNG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65524-2019</t>
        </is>
      </c>
      <c r="B2454" s="1" t="n">
        <v>43803</v>
      </c>
      <c r="C2454" s="1" t="n">
        <v>45586</v>
      </c>
      <c r="D2454" t="inlineStr">
        <is>
          <t>VÄSTRA GÖTALANDS LÄN</t>
        </is>
      </c>
      <c r="E2454" t="inlineStr">
        <is>
          <t>SVENLJUNGA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65513-2019</t>
        </is>
      </c>
      <c r="B2455" s="1" t="n">
        <v>43803</v>
      </c>
      <c r="C2455" s="1" t="n">
        <v>45586</v>
      </c>
      <c r="D2455" t="inlineStr">
        <is>
          <t>VÄSTRA GÖTALANDS LÄN</t>
        </is>
      </c>
      <c r="E2455" t="inlineStr">
        <is>
          <t>GÖTENE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65437-2019</t>
        </is>
      </c>
      <c r="B2456" s="1" t="n">
        <v>43803</v>
      </c>
      <c r="C2456" s="1" t="n">
        <v>45586</v>
      </c>
      <c r="D2456" t="inlineStr">
        <is>
          <t>VÄSTRA GÖTALANDS LÄN</t>
        </is>
      </c>
      <c r="E2456" t="inlineStr">
        <is>
          <t>DALS-ED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65474-2019</t>
        </is>
      </c>
      <c r="B2457" s="1" t="n">
        <v>43803</v>
      </c>
      <c r="C2457" s="1" t="n">
        <v>45586</v>
      </c>
      <c r="D2457" t="inlineStr">
        <is>
          <t>VÄSTRA GÖTALANDS LÄN</t>
        </is>
      </c>
      <c r="E2457" t="inlineStr">
        <is>
          <t>FALKÖPING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65525-2019</t>
        </is>
      </c>
      <c r="B2458" s="1" t="n">
        <v>43803</v>
      </c>
      <c r="C2458" s="1" t="n">
        <v>45586</v>
      </c>
      <c r="D2458" t="inlineStr">
        <is>
          <t>VÄSTRA GÖTALANDS LÄN</t>
        </is>
      </c>
      <c r="E2458" t="inlineStr">
        <is>
          <t>BENGTSFORS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65666-2019</t>
        </is>
      </c>
      <c r="B2459" s="1" t="n">
        <v>43804</v>
      </c>
      <c r="C2459" s="1" t="n">
        <v>45586</v>
      </c>
      <c r="D2459" t="inlineStr">
        <is>
          <t>VÄSTRA GÖTALANDS LÄN</t>
        </is>
      </c>
      <c r="E2459" t="inlineStr">
        <is>
          <t>BOLLEBYGD</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65712-2019</t>
        </is>
      </c>
      <c r="B2460" s="1" t="n">
        <v>43804</v>
      </c>
      <c r="C2460" s="1" t="n">
        <v>45586</v>
      </c>
      <c r="D2460" t="inlineStr">
        <is>
          <t>VÄSTRA GÖTALANDS LÄN</t>
        </is>
      </c>
      <c r="E2460" t="inlineStr">
        <is>
          <t>VÄNERSBORG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65579-2019</t>
        </is>
      </c>
      <c r="B2461" s="1" t="n">
        <v>43804</v>
      </c>
      <c r="C2461" s="1" t="n">
        <v>45586</v>
      </c>
      <c r="D2461" t="inlineStr">
        <is>
          <t>VÄSTRA GÖTALANDS LÄN</t>
        </is>
      </c>
      <c r="E2461" t="inlineStr">
        <is>
          <t>ORUST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65610-2019</t>
        </is>
      </c>
      <c r="B2462" s="1" t="n">
        <v>43804</v>
      </c>
      <c r="C2462" s="1" t="n">
        <v>45586</v>
      </c>
      <c r="D2462" t="inlineStr">
        <is>
          <t>VÄSTRA GÖTALANDS LÄN</t>
        </is>
      </c>
      <c r="E2462" t="inlineStr">
        <is>
          <t>KARLSBORG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65693-2019</t>
        </is>
      </c>
      <c r="B2463" s="1" t="n">
        <v>43804</v>
      </c>
      <c r="C2463" s="1" t="n">
        <v>45586</v>
      </c>
      <c r="D2463" t="inlineStr">
        <is>
          <t>VÄSTRA GÖTALANDS LÄN</t>
        </is>
      </c>
      <c r="E2463" t="inlineStr">
        <is>
          <t>HÄRRYDA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65732-2019</t>
        </is>
      </c>
      <c r="B2464" s="1" t="n">
        <v>43804</v>
      </c>
      <c r="C2464" s="1" t="n">
        <v>45586</v>
      </c>
      <c r="D2464" t="inlineStr">
        <is>
          <t>VÄSTRA GÖTALANDS LÄN</t>
        </is>
      </c>
      <c r="E2464" t="inlineStr">
        <is>
          <t>UDDEVALLA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65688-2019</t>
        </is>
      </c>
      <c r="B2465" s="1" t="n">
        <v>43804</v>
      </c>
      <c r="C2465" s="1" t="n">
        <v>45586</v>
      </c>
      <c r="D2465" t="inlineStr">
        <is>
          <t>VÄSTRA GÖTALANDS LÄN</t>
        </is>
      </c>
      <c r="E2465" t="inlineStr">
        <is>
          <t>HÄRRYDA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65696-2019</t>
        </is>
      </c>
      <c r="B2466" s="1" t="n">
        <v>43804</v>
      </c>
      <c r="C2466" s="1" t="n">
        <v>45586</v>
      </c>
      <c r="D2466" t="inlineStr">
        <is>
          <t>VÄSTRA GÖTALANDS LÄN</t>
        </is>
      </c>
      <c r="E2466" t="inlineStr">
        <is>
          <t>LILLA EDET</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65687-2019</t>
        </is>
      </c>
      <c r="B2467" s="1" t="n">
        <v>43804</v>
      </c>
      <c r="C2467" s="1" t="n">
        <v>45586</v>
      </c>
      <c r="D2467" t="inlineStr">
        <is>
          <t>VÄSTRA GÖTALANDS LÄN</t>
        </is>
      </c>
      <c r="E2467" t="inlineStr">
        <is>
          <t>HÄRRYDA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65600-2019</t>
        </is>
      </c>
      <c r="B2468" s="1" t="n">
        <v>43804</v>
      </c>
      <c r="C2468" s="1" t="n">
        <v>45586</v>
      </c>
      <c r="D2468" t="inlineStr">
        <is>
          <t>VÄSTRA GÖTALANDS LÄN</t>
        </is>
      </c>
      <c r="E2468" t="inlineStr">
        <is>
          <t>KARLSBORG</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65616-2019</t>
        </is>
      </c>
      <c r="B2469" s="1" t="n">
        <v>43804</v>
      </c>
      <c r="C2469" s="1" t="n">
        <v>45586</v>
      </c>
      <c r="D2469" t="inlineStr">
        <is>
          <t>VÄSTRA GÖTALANDS LÄN</t>
        </is>
      </c>
      <c r="E2469" t="inlineStr">
        <is>
          <t>KARLSBORG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65700-2019</t>
        </is>
      </c>
      <c r="B2470" s="1" t="n">
        <v>43804</v>
      </c>
      <c r="C2470" s="1" t="n">
        <v>45586</v>
      </c>
      <c r="D2470" t="inlineStr">
        <is>
          <t>VÄSTRA GÖTALANDS LÄN</t>
        </is>
      </c>
      <c r="E2470" t="inlineStr">
        <is>
          <t>SVENLJUNGA</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65670-2019</t>
        </is>
      </c>
      <c r="B2471" s="1" t="n">
        <v>43804</v>
      </c>
      <c r="C2471" s="1" t="n">
        <v>45586</v>
      </c>
      <c r="D2471" t="inlineStr">
        <is>
          <t>VÄSTRA GÖTALANDS LÄN</t>
        </is>
      </c>
      <c r="E2471" t="inlineStr">
        <is>
          <t>HÄRRYDA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65630-2019</t>
        </is>
      </c>
      <c r="B2472" s="1" t="n">
        <v>43804</v>
      </c>
      <c r="C2472" s="1" t="n">
        <v>45586</v>
      </c>
      <c r="D2472" t="inlineStr">
        <is>
          <t>VÄSTRA GÖTALANDS LÄN</t>
        </is>
      </c>
      <c r="E2472" t="inlineStr">
        <is>
          <t>SKÖVDE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66624-2019</t>
        </is>
      </c>
      <c r="B2473" s="1" t="n">
        <v>43804</v>
      </c>
      <c r="C2473" s="1" t="n">
        <v>45586</v>
      </c>
      <c r="D2473" t="inlineStr">
        <is>
          <t>VÄSTRA GÖTALANDS LÄN</t>
        </is>
      </c>
      <c r="E2473" t="inlineStr">
        <is>
          <t>HJO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65617-2019</t>
        </is>
      </c>
      <c r="B2474" s="1" t="n">
        <v>43804</v>
      </c>
      <c r="C2474" s="1" t="n">
        <v>45586</v>
      </c>
      <c r="D2474" t="inlineStr">
        <is>
          <t>VÄSTRA GÖTALANDS LÄN</t>
        </is>
      </c>
      <c r="E2474" t="inlineStr">
        <is>
          <t>KARLSBORG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65886-2019</t>
        </is>
      </c>
      <c r="B2475" s="1" t="n">
        <v>43805</v>
      </c>
      <c r="C2475" s="1" t="n">
        <v>45586</v>
      </c>
      <c r="D2475" t="inlineStr">
        <is>
          <t>VÄSTRA GÖTALANDS LÄN</t>
        </is>
      </c>
      <c r="E2475" t="inlineStr">
        <is>
          <t>MELLERUD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65928-2019</t>
        </is>
      </c>
      <c r="B2476" s="1" t="n">
        <v>43805</v>
      </c>
      <c r="C2476" s="1" t="n">
        <v>45586</v>
      </c>
      <c r="D2476" t="inlineStr">
        <is>
          <t>VÄSTRA GÖTALANDS LÄN</t>
        </is>
      </c>
      <c r="E2476" t="inlineStr">
        <is>
          <t>GULLSPÅNG</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66031-2019</t>
        </is>
      </c>
      <c r="B2477" s="1" t="n">
        <v>43805</v>
      </c>
      <c r="C2477" s="1" t="n">
        <v>45586</v>
      </c>
      <c r="D2477" t="inlineStr">
        <is>
          <t>VÄSTRA GÖTALANDS LÄN</t>
        </is>
      </c>
      <c r="E2477" t="inlineStr">
        <is>
          <t>FALKÖPING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66029-2019</t>
        </is>
      </c>
      <c r="B2478" s="1" t="n">
        <v>43805</v>
      </c>
      <c r="C2478" s="1" t="n">
        <v>45586</v>
      </c>
      <c r="D2478" t="inlineStr">
        <is>
          <t>VÄSTRA GÖTALANDS LÄN</t>
        </is>
      </c>
      <c r="E2478" t="inlineStr">
        <is>
          <t>TIDAHOLM</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65794-2019</t>
        </is>
      </c>
      <c r="B2479" s="1" t="n">
        <v>43805</v>
      </c>
      <c r="C2479" s="1" t="n">
        <v>45586</v>
      </c>
      <c r="D2479" t="inlineStr">
        <is>
          <t>VÄSTRA GÖTALANDS LÄN</t>
        </is>
      </c>
      <c r="E2479" t="inlineStr">
        <is>
          <t>SKÖVDE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65852-2019</t>
        </is>
      </c>
      <c r="B2480" s="1" t="n">
        <v>43805</v>
      </c>
      <c r="C2480" s="1" t="n">
        <v>45586</v>
      </c>
      <c r="D2480" t="inlineStr">
        <is>
          <t>VÄSTRA GÖTALANDS LÄN</t>
        </is>
      </c>
      <c r="E2480" t="inlineStr">
        <is>
          <t>BENGTSFORS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66027-2019</t>
        </is>
      </c>
      <c r="B2481" s="1" t="n">
        <v>43805</v>
      </c>
      <c r="C2481" s="1" t="n">
        <v>45586</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66036-2019</t>
        </is>
      </c>
      <c r="B2482" s="1" t="n">
        <v>43805</v>
      </c>
      <c r="C2482" s="1" t="n">
        <v>45586</v>
      </c>
      <c r="D2482" t="inlineStr">
        <is>
          <t>VÄSTRA GÖTALANDS LÄN</t>
        </is>
      </c>
      <c r="E2482" t="inlineStr">
        <is>
          <t>TANUM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66231-2019</t>
        </is>
      </c>
      <c r="B2483" s="1" t="n">
        <v>43808</v>
      </c>
      <c r="C2483" s="1" t="n">
        <v>45586</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66240-2019</t>
        </is>
      </c>
      <c r="B2484" s="1" t="n">
        <v>43808</v>
      </c>
      <c r="C2484" s="1" t="n">
        <v>45586</v>
      </c>
      <c r="D2484" t="inlineStr">
        <is>
          <t>VÄSTRA GÖTALANDS LÄN</t>
        </is>
      </c>
      <c r="E2484" t="inlineStr">
        <is>
          <t>GULLSPÅNG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66114-2019</t>
        </is>
      </c>
      <c r="B2485" s="1" t="n">
        <v>43808</v>
      </c>
      <c r="C2485" s="1" t="n">
        <v>45586</v>
      </c>
      <c r="D2485" t="inlineStr">
        <is>
          <t>VÄSTRA GÖTALANDS LÄN</t>
        </is>
      </c>
      <c r="E2485" t="inlineStr">
        <is>
          <t>SKÖVDE</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67623-2019</t>
        </is>
      </c>
      <c r="B2486" s="1" t="n">
        <v>43808</v>
      </c>
      <c r="C2486" s="1" t="n">
        <v>45586</v>
      </c>
      <c r="D2486" t="inlineStr">
        <is>
          <t>VÄSTRA GÖTALANDS LÄN</t>
        </is>
      </c>
      <c r="E2486" t="inlineStr">
        <is>
          <t>BORÅS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67335-2019</t>
        </is>
      </c>
      <c r="B2487" s="1" t="n">
        <v>43808</v>
      </c>
      <c r="C2487" s="1" t="n">
        <v>45586</v>
      </c>
      <c r="D2487" t="inlineStr">
        <is>
          <t>VÄSTRA GÖTALANDS LÄN</t>
        </is>
      </c>
      <c r="E2487" t="inlineStr">
        <is>
          <t>BORÅS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67627-2019</t>
        </is>
      </c>
      <c r="B2488" s="1" t="n">
        <v>43808</v>
      </c>
      <c r="C2488" s="1" t="n">
        <v>45586</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67603-2019</t>
        </is>
      </c>
      <c r="B2489" s="1" t="n">
        <v>43808</v>
      </c>
      <c r="C2489" s="1" t="n">
        <v>45586</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67600-2019</t>
        </is>
      </c>
      <c r="B2490" s="1" t="n">
        <v>43808</v>
      </c>
      <c r="C2490" s="1" t="n">
        <v>45586</v>
      </c>
      <c r="D2490" t="inlineStr">
        <is>
          <t>VÄSTRA GÖTALANDS LÄN</t>
        </is>
      </c>
      <c r="E2490" t="inlineStr">
        <is>
          <t>BORÅS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67622-2019</t>
        </is>
      </c>
      <c r="B2491" s="1" t="n">
        <v>43808</v>
      </c>
      <c r="C2491" s="1" t="n">
        <v>45586</v>
      </c>
      <c r="D2491" t="inlineStr">
        <is>
          <t>VÄSTRA GÖTALANDS LÄN</t>
        </is>
      </c>
      <c r="E2491" t="inlineStr">
        <is>
          <t>BORÅS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66408-2019</t>
        </is>
      </c>
      <c r="B2492" s="1" t="n">
        <v>43809</v>
      </c>
      <c r="C2492" s="1" t="n">
        <v>45586</v>
      </c>
      <c r="D2492" t="inlineStr">
        <is>
          <t>VÄSTRA GÖTALANDS LÄN</t>
        </is>
      </c>
      <c r="E2492" t="inlineStr">
        <is>
          <t>MARK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66678-2019</t>
        </is>
      </c>
      <c r="B2493" s="1" t="n">
        <v>43809</v>
      </c>
      <c r="C2493" s="1" t="n">
        <v>45586</v>
      </c>
      <c r="D2493" t="inlineStr">
        <is>
          <t>VÄSTRA GÖTALANDS LÄN</t>
        </is>
      </c>
      <c r="E2493" t="inlineStr">
        <is>
          <t>TROLLHÄTTAN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67648-2019</t>
        </is>
      </c>
      <c r="B2494" s="1" t="n">
        <v>43809</v>
      </c>
      <c r="C2494" s="1" t="n">
        <v>45586</v>
      </c>
      <c r="D2494" t="inlineStr">
        <is>
          <t>VÄSTRA GÖTALANDS LÄN</t>
        </is>
      </c>
      <c r="E2494" t="inlineStr">
        <is>
          <t>BENGTSFORS</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66610-2019</t>
        </is>
      </c>
      <c r="B2495" s="1" t="n">
        <v>43809</v>
      </c>
      <c r="C2495" s="1" t="n">
        <v>45586</v>
      </c>
      <c r="D2495" t="inlineStr">
        <is>
          <t>VÄSTRA GÖTALANDS LÄN</t>
        </is>
      </c>
      <c r="E2495" t="inlineStr">
        <is>
          <t>BENGTSFORS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66692-2019</t>
        </is>
      </c>
      <c r="B2496" s="1" t="n">
        <v>43809</v>
      </c>
      <c r="C2496" s="1" t="n">
        <v>45586</v>
      </c>
      <c r="D2496" t="inlineStr">
        <is>
          <t>VÄSTRA GÖTALANDS LÄN</t>
        </is>
      </c>
      <c r="E2496" t="inlineStr">
        <is>
          <t>TANUM</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66797-2019</t>
        </is>
      </c>
      <c r="B2497" s="1" t="n">
        <v>43810</v>
      </c>
      <c r="C2497" s="1" t="n">
        <v>45586</v>
      </c>
      <c r="D2497" t="inlineStr">
        <is>
          <t>VÄSTRA GÖTALANDS LÄN</t>
        </is>
      </c>
      <c r="E2497" t="inlineStr">
        <is>
          <t>UDDEVALLA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66741-2019</t>
        </is>
      </c>
      <c r="B2498" s="1" t="n">
        <v>43810</v>
      </c>
      <c r="C2498" s="1" t="n">
        <v>45586</v>
      </c>
      <c r="D2498" t="inlineStr">
        <is>
          <t>VÄSTRA GÖTALANDS LÄN</t>
        </is>
      </c>
      <c r="E2498" t="inlineStr">
        <is>
          <t>LILLA EDET</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66956-2019</t>
        </is>
      </c>
      <c r="B2499" s="1" t="n">
        <v>43810</v>
      </c>
      <c r="C2499" s="1" t="n">
        <v>45586</v>
      </c>
      <c r="D2499" t="inlineStr">
        <is>
          <t>VÄSTRA GÖTALANDS LÄN</t>
        </is>
      </c>
      <c r="E2499" t="inlineStr">
        <is>
          <t>MELLERUD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67845-2019</t>
        </is>
      </c>
      <c r="B2500" s="1" t="n">
        <v>43810</v>
      </c>
      <c r="C2500" s="1" t="n">
        <v>45586</v>
      </c>
      <c r="D2500" t="inlineStr">
        <is>
          <t>VÄSTRA GÖTALANDS LÄN</t>
        </is>
      </c>
      <c r="E2500" t="inlineStr">
        <is>
          <t>FÄRGELANDA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66947-2019</t>
        </is>
      </c>
      <c r="B2501" s="1" t="n">
        <v>43810</v>
      </c>
      <c r="C2501" s="1" t="n">
        <v>45586</v>
      </c>
      <c r="D2501" t="inlineStr">
        <is>
          <t>VÄSTRA GÖTALANDS LÄN</t>
        </is>
      </c>
      <c r="E2501" t="inlineStr">
        <is>
          <t>BOLLEBYGD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67850-2019</t>
        </is>
      </c>
      <c r="B2502" s="1" t="n">
        <v>43810</v>
      </c>
      <c r="C2502" s="1" t="n">
        <v>45586</v>
      </c>
      <c r="D2502" t="inlineStr">
        <is>
          <t>VÄSTRA GÖTALANDS LÄN</t>
        </is>
      </c>
      <c r="E2502" t="inlineStr">
        <is>
          <t>FÄRGELANDA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67074-2019</t>
        </is>
      </c>
      <c r="B2503" s="1" t="n">
        <v>43811</v>
      </c>
      <c r="C2503" s="1" t="n">
        <v>45586</v>
      </c>
      <c r="D2503" t="inlineStr">
        <is>
          <t>VÄSTRA GÖTALANDS LÄN</t>
        </is>
      </c>
      <c r="E2503" t="inlineStr">
        <is>
          <t>FÄRGELANDA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67177-2019</t>
        </is>
      </c>
      <c r="B2504" s="1" t="n">
        <v>43811</v>
      </c>
      <c r="C2504" s="1" t="n">
        <v>45586</v>
      </c>
      <c r="D2504" t="inlineStr">
        <is>
          <t>VÄSTRA GÖTALANDS LÄN</t>
        </is>
      </c>
      <c r="E2504" t="inlineStr">
        <is>
          <t>VÄNERSBORG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66978-2019</t>
        </is>
      </c>
      <c r="B2505" s="1" t="n">
        <v>43811</v>
      </c>
      <c r="C2505" s="1" t="n">
        <v>45586</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67035-2019</t>
        </is>
      </c>
      <c r="B2506" s="1" t="n">
        <v>43811</v>
      </c>
      <c r="C2506" s="1" t="n">
        <v>45586</v>
      </c>
      <c r="D2506" t="inlineStr">
        <is>
          <t>VÄSTRA GÖTALANDS LÄN</t>
        </is>
      </c>
      <c r="E2506" t="inlineStr">
        <is>
          <t>TIBRO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67040-2019</t>
        </is>
      </c>
      <c r="B2507" s="1" t="n">
        <v>43811</v>
      </c>
      <c r="C2507" s="1" t="n">
        <v>45586</v>
      </c>
      <c r="D2507" t="inlineStr">
        <is>
          <t>VÄSTRA GÖTALANDS LÄN</t>
        </is>
      </c>
      <c r="E2507" t="inlineStr">
        <is>
          <t>BOLLEBYGD</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67030-2019</t>
        </is>
      </c>
      <c r="B2508" s="1" t="n">
        <v>43811</v>
      </c>
      <c r="C2508" s="1" t="n">
        <v>45586</v>
      </c>
      <c r="D2508" t="inlineStr">
        <is>
          <t>VÄSTRA GÖTALANDS LÄN</t>
        </is>
      </c>
      <c r="E2508" t="inlineStr">
        <is>
          <t>GULLSPÅNG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67036-2019</t>
        </is>
      </c>
      <c r="B2509" s="1" t="n">
        <v>43811</v>
      </c>
      <c r="C2509" s="1" t="n">
        <v>45586</v>
      </c>
      <c r="D2509" t="inlineStr">
        <is>
          <t>VÄSTRA GÖTALANDS LÄN</t>
        </is>
      </c>
      <c r="E2509" t="inlineStr">
        <is>
          <t>GULLSPÅNG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67129-2019</t>
        </is>
      </c>
      <c r="B2510" s="1" t="n">
        <v>43811</v>
      </c>
      <c r="C2510" s="1" t="n">
        <v>45586</v>
      </c>
      <c r="D2510" t="inlineStr">
        <is>
          <t>VÄSTRA GÖTALANDS LÄN</t>
        </is>
      </c>
      <c r="E2510" t="inlineStr">
        <is>
          <t>BENGTSFORS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67096-2019</t>
        </is>
      </c>
      <c r="B2511" s="1" t="n">
        <v>43811</v>
      </c>
      <c r="C2511" s="1" t="n">
        <v>45586</v>
      </c>
      <c r="D2511" t="inlineStr">
        <is>
          <t>VÄSTRA GÖTALANDS LÄN</t>
        </is>
      </c>
      <c r="E2511" t="inlineStr">
        <is>
          <t>TRANEMO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68004-2019</t>
        </is>
      </c>
      <c r="B2512" s="1" t="n">
        <v>43811</v>
      </c>
      <c r="C2512" s="1" t="n">
        <v>45586</v>
      </c>
      <c r="D2512" t="inlineStr">
        <is>
          <t>VÄSTRA GÖTALANDS LÄN</t>
        </is>
      </c>
      <c r="E2512" t="inlineStr">
        <is>
          <t>TANUM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68007-2019</t>
        </is>
      </c>
      <c r="B2513" s="1" t="n">
        <v>43811</v>
      </c>
      <c r="C2513" s="1" t="n">
        <v>45586</v>
      </c>
      <c r="D2513" t="inlineStr">
        <is>
          <t>VÄSTRA GÖTALANDS LÄN</t>
        </is>
      </c>
      <c r="E2513" t="inlineStr">
        <is>
          <t>TANUM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67002-2019</t>
        </is>
      </c>
      <c r="B2514" s="1" t="n">
        <v>43811</v>
      </c>
      <c r="C2514" s="1" t="n">
        <v>45586</v>
      </c>
      <c r="D2514" t="inlineStr">
        <is>
          <t>VÄSTRA GÖTALANDS LÄN</t>
        </is>
      </c>
      <c r="E2514" t="inlineStr">
        <is>
          <t>BOLLEBYGD</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67026-2019</t>
        </is>
      </c>
      <c r="B2515" s="1" t="n">
        <v>43811</v>
      </c>
      <c r="C2515" s="1" t="n">
        <v>45586</v>
      </c>
      <c r="D2515" t="inlineStr">
        <is>
          <t>VÄSTRA GÖTALANDS LÄN</t>
        </is>
      </c>
      <c r="E2515" t="inlineStr">
        <is>
          <t>GULLSPÅNG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67353-2019</t>
        </is>
      </c>
      <c r="B2516" s="1" t="n">
        <v>43812</v>
      </c>
      <c r="C2516" s="1" t="n">
        <v>45586</v>
      </c>
      <c r="D2516" t="inlineStr">
        <is>
          <t>VÄSTRA GÖTALANDS LÄN</t>
        </is>
      </c>
      <c r="E2516" t="inlineStr">
        <is>
          <t>FALKÖPING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67282-2019</t>
        </is>
      </c>
      <c r="B2517" s="1" t="n">
        <v>43812</v>
      </c>
      <c r="C2517" s="1" t="n">
        <v>45586</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67349-2019</t>
        </is>
      </c>
      <c r="B2518" s="1" t="n">
        <v>43812</v>
      </c>
      <c r="C2518" s="1" t="n">
        <v>45586</v>
      </c>
      <c r="D2518" t="inlineStr">
        <is>
          <t>VÄSTRA GÖTALANDS LÄN</t>
        </is>
      </c>
      <c r="E2518" t="inlineStr">
        <is>
          <t>UDDEVALLA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68762-2019</t>
        </is>
      </c>
      <c r="B2519" s="1" t="n">
        <v>43812</v>
      </c>
      <c r="C2519" s="1" t="n">
        <v>45586</v>
      </c>
      <c r="D2519" t="inlineStr">
        <is>
          <t>VÄSTRA GÖTALANDS LÄN</t>
        </is>
      </c>
      <c r="E2519" t="inlineStr">
        <is>
          <t>TANUM</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68753-2019</t>
        </is>
      </c>
      <c r="B2520" s="1" t="n">
        <v>43812</v>
      </c>
      <c r="C2520" s="1" t="n">
        <v>45586</v>
      </c>
      <c r="D2520" t="inlineStr">
        <is>
          <t>VÄSTRA GÖTALANDS LÄN</t>
        </is>
      </c>
      <c r="E2520" t="inlineStr">
        <is>
          <t>TANUM</t>
        </is>
      </c>
      <c r="F2520" t="inlineStr">
        <is>
          <t>Kyrkan</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67421-2019</t>
        </is>
      </c>
      <c r="B2521" s="1" t="n">
        <v>43812</v>
      </c>
      <c r="C2521" s="1" t="n">
        <v>45586</v>
      </c>
      <c r="D2521" t="inlineStr">
        <is>
          <t>VÄSTRA GÖTALANDS LÄN</t>
        </is>
      </c>
      <c r="E2521" t="inlineStr">
        <is>
          <t>BENGTSFORS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67288-2019</t>
        </is>
      </c>
      <c r="B2522" s="1" t="n">
        <v>43812</v>
      </c>
      <c r="C2522" s="1" t="n">
        <v>45586</v>
      </c>
      <c r="D2522" t="inlineStr">
        <is>
          <t>VÄSTRA GÖTALANDS LÄN</t>
        </is>
      </c>
      <c r="E2522" t="inlineStr">
        <is>
          <t>MUNKEDAL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67326-2019</t>
        </is>
      </c>
      <c r="B2523" s="1" t="n">
        <v>43812</v>
      </c>
      <c r="C2523" s="1" t="n">
        <v>45586</v>
      </c>
      <c r="D2523" t="inlineStr">
        <is>
          <t>VÄSTRA GÖTALANDS LÄN</t>
        </is>
      </c>
      <c r="E2523" t="inlineStr">
        <is>
          <t>ALINGSÅS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67685-2019</t>
        </is>
      </c>
      <c r="B2524" s="1" t="n">
        <v>43815</v>
      </c>
      <c r="C2524" s="1" t="n">
        <v>45586</v>
      </c>
      <c r="D2524" t="inlineStr">
        <is>
          <t>VÄSTRA GÖTALANDS LÄN</t>
        </is>
      </c>
      <c r="E2524" t="inlineStr">
        <is>
          <t>BENGTSFORS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67771-2019</t>
        </is>
      </c>
      <c r="B2525" s="1" t="n">
        <v>43815</v>
      </c>
      <c r="C2525" s="1" t="n">
        <v>45586</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67687-2019</t>
        </is>
      </c>
      <c r="B2526" s="1" t="n">
        <v>43815</v>
      </c>
      <c r="C2526" s="1" t="n">
        <v>45586</v>
      </c>
      <c r="D2526" t="inlineStr">
        <is>
          <t>VÄSTRA GÖTALANDS LÄN</t>
        </is>
      </c>
      <c r="E2526" t="inlineStr">
        <is>
          <t>BENGTSFORS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67629-2019</t>
        </is>
      </c>
      <c r="B2527" s="1" t="n">
        <v>43815</v>
      </c>
      <c r="C2527" s="1" t="n">
        <v>45586</v>
      </c>
      <c r="D2527" t="inlineStr">
        <is>
          <t>VÄSTRA GÖTALANDS LÄN</t>
        </is>
      </c>
      <c r="E2527" t="inlineStr">
        <is>
          <t>TROLLHÄTTAN</t>
        </is>
      </c>
      <c r="F2527" t="inlineStr">
        <is>
          <t>Kommuner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67645-2019</t>
        </is>
      </c>
      <c r="B2528" s="1" t="n">
        <v>43815</v>
      </c>
      <c r="C2528" s="1" t="n">
        <v>45586</v>
      </c>
      <c r="D2528" t="inlineStr">
        <is>
          <t>VÄSTRA GÖTALANDS LÄN</t>
        </is>
      </c>
      <c r="E2528" t="inlineStr">
        <is>
          <t>SKARA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67767-2019</t>
        </is>
      </c>
      <c r="B2529" s="1" t="n">
        <v>43815</v>
      </c>
      <c r="C2529" s="1" t="n">
        <v>45586</v>
      </c>
      <c r="D2529" t="inlineStr">
        <is>
          <t>VÄSTRA GÖTALANDS LÄN</t>
        </is>
      </c>
      <c r="E2529" t="inlineStr">
        <is>
          <t>KARLSBORG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67831-2019</t>
        </is>
      </c>
      <c r="B2530" s="1" t="n">
        <v>43815</v>
      </c>
      <c r="C2530" s="1" t="n">
        <v>45586</v>
      </c>
      <c r="D2530" t="inlineStr">
        <is>
          <t>VÄSTRA GÖTALANDS LÄN</t>
        </is>
      </c>
      <c r="E2530" t="inlineStr">
        <is>
          <t>UDDEVALLA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67610-2019</t>
        </is>
      </c>
      <c r="B2531" s="1" t="n">
        <v>43815</v>
      </c>
      <c r="C2531" s="1" t="n">
        <v>45586</v>
      </c>
      <c r="D2531" t="inlineStr">
        <is>
          <t>VÄSTRA GÖTALANDS LÄN</t>
        </is>
      </c>
      <c r="E2531" t="inlineStr">
        <is>
          <t>BENGTSFORS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67836-2019</t>
        </is>
      </c>
      <c r="B2532" s="1" t="n">
        <v>43816</v>
      </c>
      <c r="C2532" s="1" t="n">
        <v>45586</v>
      </c>
      <c r="D2532" t="inlineStr">
        <is>
          <t>VÄSTRA GÖTALANDS LÄN</t>
        </is>
      </c>
      <c r="E2532" t="inlineStr">
        <is>
          <t>ÅMÅL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67890-2019</t>
        </is>
      </c>
      <c r="B2533" s="1" t="n">
        <v>43816</v>
      </c>
      <c r="C2533" s="1" t="n">
        <v>45586</v>
      </c>
      <c r="D2533" t="inlineStr">
        <is>
          <t>VÄSTRA GÖTALANDS LÄN</t>
        </is>
      </c>
      <c r="E2533" t="inlineStr">
        <is>
          <t>VÄNERSBORG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67925-2019</t>
        </is>
      </c>
      <c r="B2534" s="1" t="n">
        <v>43816</v>
      </c>
      <c r="C2534" s="1" t="n">
        <v>45586</v>
      </c>
      <c r="D2534" t="inlineStr">
        <is>
          <t>VÄSTRA GÖTALANDS LÄN</t>
        </is>
      </c>
      <c r="E2534" t="inlineStr">
        <is>
          <t>SKARA</t>
        </is>
      </c>
      <c r="F2534" t="inlineStr">
        <is>
          <t>Övriga statliga verk och myndigheter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68068-2019</t>
        </is>
      </c>
      <c r="B2535" s="1" t="n">
        <v>43816</v>
      </c>
      <c r="C2535" s="1" t="n">
        <v>45586</v>
      </c>
      <c r="D2535" t="inlineStr">
        <is>
          <t>VÄSTRA GÖTALANDS LÄN</t>
        </is>
      </c>
      <c r="E2535" t="inlineStr">
        <is>
          <t>GULLSPÅNG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67895-2019</t>
        </is>
      </c>
      <c r="B2536" s="1" t="n">
        <v>43816</v>
      </c>
      <c r="C2536" s="1" t="n">
        <v>45586</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67977-2019</t>
        </is>
      </c>
      <c r="B2537" s="1" t="n">
        <v>43816</v>
      </c>
      <c r="C2537" s="1" t="n">
        <v>45586</v>
      </c>
      <c r="D2537" t="inlineStr">
        <is>
          <t>VÄSTRA GÖTALANDS LÄN</t>
        </is>
      </c>
      <c r="E2537" t="inlineStr">
        <is>
          <t>MARK</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67923-2019</t>
        </is>
      </c>
      <c r="B2538" s="1" t="n">
        <v>43816</v>
      </c>
      <c r="C2538" s="1" t="n">
        <v>45586</v>
      </c>
      <c r="D2538" t="inlineStr">
        <is>
          <t>VÄSTRA GÖTALANDS LÄN</t>
        </is>
      </c>
      <c r="E2538" t="inlineStr">
        <is>
          <t>SKARA</t>
        </is>
      </c>
      <c r="F2538" t="inlineStr">
        <is>
          <t>Övriga statliga verk och myndigheter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67868-2019</t>
        </is>
      </c>
      <c r="B2539" s="1" t="n">
        <v>43816</v>
      </c>
      <c r="C2539" s="1" t="n">
        <v>45586</v>
      </c>
      <c r="D2539" t="inlineStr">
        <is>
          <t>VÄSTRA GÖTALANDS LÄN</t>
        </is>
      </c>
      <c r="E2539" t="inlineStr">
        <is>
          <t>DALS-ED</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67973-2019</t>
        </is>
      </c>
      <c r="B2540" s="1" t="n">
        <v>43816</v>
      </c>
      <c r="C2540" s="1" t="n">
        <v>45586</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68100-2019</t>
        </is>
      </c>
      <c r="B2541" s="1" t="n">
        <v>43817</v>
      </c>
      <c r="C2541" s="1" t="n">
        <v>45586</v>
      </c>
      <c r="D2541" t="inlineStr">
        <is>
          <t>VÄSTRA GÖTALANDS LÄN</t>
        </is>
      </c>
      <c r="E2541" t="inlineStr">
        <is>
          <t>SVENLJUNGA</t>
        </is>
      </c>
      <c r="F2541" t="inlineStr">
        <is>
          <t>Kyrkan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68138-2019</t>
        </is>
      </c>
      <c r="B2542" s="1" t="n">
        <v>43817</v>
      </c>
      <c r="C2542" s="1" t="n">
        <v>45586</v>
      </c>
      <c r="D2542" t="inlineStr">
        <is>
          <t>VÄSTRA GÖTALANDS LÄN</t>
        </is>
      </c>
      <c r="E2542" t="inlineStr">
        <is>
          <t>BENGTSFORS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68140-2019</t>
        </is>
      </c>
      <c r="B2543" s="1" t="n">
        <v>43817</v>
      </c>
      <c r="C2543" s="1" t="n">
        <v>45586</v>
      </c>
      <c r="D2543" t="inlineStr">
        <is>
          <t>VÄSTRA GÖTALANDS LÄN</t>
        </is>
      </c>
      <c r="E2543" t="inlineStr">
        <is>
          <t>BENGTSFORS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68256-2019</t>
        </is>
      </c>
      <c r="B2544" s="1" t="n">
        <v>43817</v>
      </c>
      <c r="C2544" s="1" t="n">
        <v>45586</v>
      </c>
      <c r="D2544" t="inlineStr">
        <is>
          <t>VÄSTRA GÖTALANDS LÄN</t>
        </is>
      </c>
      <c r="E2544" t="inlineStr">
        <is>
          <t>LILLA EDET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68437-2019</t>
        </is>
      </c>
      <c r="B2545" s="1" t="n">
        <v>43818</v>
      </c>
      <c r="C2545" s="1" t="n">
        <v>45586</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68452-2019</t>
        </is>
      </c>
      <c r="B2546" s="1" t="n">
        <v>43818</v>
      </c>
      <c r="C2546" s="1" t="n">
        <v>45586</v>
      </c>
      <c r="D2546" t="inlineStr">
        <is>
          <t>VÄSTRA GÖTALANDS LÄN</t>
        </is>
      </c>
      <c r="E2546" t="inlineStr">
        <is>
          <t>SVENLJUNGA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68424-2019</t>
        </is>
      </c>
      <c r="B2547" s="1" t="n">
        <v>43818</v>
      </c>
      <c r="C2547" s="1" t="n">
        <v>45586</v>
      </c>
      <c r="D2547" t="inlineStr">
        <is>
          <t>VÄSTRA GÖTALANDS LÄN</t>
        </is>
      </c>
      <c r="E2547" t="inlineStr">
        <is>
          <t>TRANEMO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68442-2019</t>
        </is>
      </c>
      <c r="B2548" s="1" t="n">
        <v>43818</v>
      </c>
      <c r="C2548" s="1" t="n">
        <v>45586</v>
      </c>
      <c r="D2548" t="inlineStr">
        <is>
          <t>VÄSTRA GÖTALANDS LÄN</t>
        </is>
      </c>
      <c r="E2548" t="inlineStr">
        <is>
          <t>TRANEMO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68440-2019</t>
        </is>
      </c>
      <c r="B2549" s="1" t="n">
        <v>43818</v>
      </c>
      <c r="C2549" s="1" t="n">
        <v>45586</v>
      </c>
      <c r="D2549" t="inlineStr">
        <is>
          <t>VÄSTRA GÖTALANDS LÄN</t>
        </is>
      </c>
      <c r="E2549" t="inlineStr">
        <is>
          <t>TRANEMO</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68719-2019</t>
        </is>
      </c>
      <c r="B2550" s="1" t="n">
        <v>43819</v>
      </c>
      <c r="C2550" s="1" t="n">
        <v>45586</v>
      </c>
      <c r="D2550" t="inlineStr">
        <is>
          <t>VÄSTRA GÖTALANDS LÄN</t>
        </is>
      </c>
      <c r="E2550" t="inlineStr">
        <is>
          <t>HERRLJUNGA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68731-2019</t>
        </is>
      </c>
      <c r="B2551" s="1" t="n">
        <v>43819</v>
      </c>
      <c r="C2551" s="1" t="n">
        <v>45586</v>
      </c>
      <c r="D2551" t="inlineStr">
        <is>
          <t>VÄSTRA GÖTALANDS LÄN</t>
        </is>
      </c>
      <c r="E2551" t="inlineStr">
        <is>
          <t>SKARA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68697-2019</t>
        </is>
      </c>
      <c r="B2552" s="1" t="n">
        <v>43819</v>
      </c>
      <c r="C2552" s="1" t="n">
        <v>45586</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68732-2019</t>
        </is>
      </c>
      <c r="B2553" s="1" t="n">
        <v>43819</v>
      </c>
      <c r="C2553" s="1" t="n">
        <v>45586</v>
      </c>
      <c r="D2553" t="inlineStr">
        <is>
          <t>VÄSTRA GÖTALANDS LÄN</t>
        </is>
      </c>
      <c r="E2553" t="inlineStr">
        <is>
          <t>SKARA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68739-2019</t>
        </is>
      </c>
      <c r="B2554" s="1" t="n">
        <v>43819</v>
      </c>
      <c r="C2554" s="1" t="n">
        <v>45586</v>
      </c>
      <c r="D2554" t="inlineStr">
        <is>
          <t>VÄSTRA GÖTALANDS LÄN</t>
        </is>
      </c>
      <c r="E2554" t="inlineStr">
        <is>
          <t>MARK</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68696-2019</t>
        </is>
      </c>
      <c r="B2555" s="1" t="n">
        <v>43819</v>
      </c>
      <c r="C2555" s="1" t="n">
        <v>45586</v>
      </c>
      <c r="D2555" t="inlineStr">
        <is>
          <t>VÄSTRA GÖTALANDS LÄN</t>
        </is>
      </c>
      <c r="E2555" t="inlineStr">
        <is>
          <t>GULLSPÅNG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68821-2019</t>
        </is>
      </c>
      <c r="B2556" s="1" t="n">
        <v>43819</v>
      </c>
      <c r="C2556" s="1" t="n">
        <v>45586</v>
      </c>
      <c r="D2556" t="inlineStr">
        <is>
          <t>VÄSTRA GÖTALANDS LÄN</t>
        </is>
      </c>
      <c r="E2556" t="inlineStr">
        <is>
          <t>TJÖRN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68834-2019</t>
        </is>
      </c>
      <c r="B2557" s="1" t="n">
        <v>43819</v>
      </c>
      <c r="C2557" s="1" t="n">
        <v>45586</v>
      </c>
      <c r="D2557" t="inlineStr">
        <is>
          <t>VÄSTRA GÖTALANDS LÄN</t>
        </is>
      </c>
      <c r="E2557" t="inlineStr">
        <is>
          <t>ESSUNGA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968-2020</t>
        </is>
      </c>
      <c r="B2558" s="1" t="n">
        <v>43819</v>
      </c>
      <c r="C2558" s="1" t="n">
        <v>45586</v>
      </c>
      <c r="D2558" t="inlineStr">
        <is>
          <t>VÄSTRA GÖTALANDS LÄN</t>
        </is>
      </c>
      <c r="E2558" t="inlineStr">
        <is>
          <t>TIBRO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1025-2020</t>
        </is>
      </c>
      <c r="B2559" s="1" t="n">
        <v>43819</v>
      </c>
      <c r="C2559" s="1" t="n">
        <v>45586</v>
      </c>
      <c r="D2559" t="inlineStr">
        <is>
          <t>VÄSTRA GÖTALANDS LÄN</t>
        </is>
      </c>
      <c r="E2559" t="inlineStr">
        <is>
          <t>TANUM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68909-2019</t>
        </is>
      </c>
      <c r="B2560" s="1" t="n">
        <v>43822</v>
      </c>
      <c r="C2560" s="1" t="n">
        <v>45586</v>
      </c>
      <c r="D2560" t="inlineStr">
        <is>
          <t>VÄSTRA GÖTALANDS LÄN</t>
        </is>
      </c>
      <c r="E2560" t="inlineStr">
        <is>
          <t>ALINGSÅS</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68979-2019</t>
        </is>
      </c>
      <c r="B2561" s="1" t="n">
        <v>43824</v>
      </c>
      <c r="C2561" s="1" t="n">
        <v>45586</v>
      </c>
      <c r="D2561" t="inlineStr">
        <is>
          <t>VÄSTRA GÖTALANDS LÄN</t>
        </is>
      </c>
      <c r="E2561" t="inlineStr">
        <is>
          <t>BOLLEBYGD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68978-2019</t>
        </is>
      </c>
      <c r="B2562" s="1" t="n">
        <v>43824</v>
      </c>
      <c r="C2562" s="1" t="n">
        <v>45586</v>
      </c>
      <c r="D2562" t="inlineStr">
        <is>
          <t>VÄSTRA GÖTALANDS LÄN</t>
        </is>
      </c>
      <c r="E2562" t="inlineStr">
        <is>
          <t>LILLA EDET</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68981-2019</t>
        </is>
      </c>
      <c r="B2563" s="1" t="n">
        <v>43824</v>
      </c>
      <c r="C2563" s="1" t="n">
        <v>45586</v>
      </c>
      <c r="D2563" t="inlineStr">
        <is>
          <t>VÄSTRA GÖTALANDS LÄN</t>
        </is>
      </c>
      <c r="E2563" t="inlineStr">
        <is>
          <t>VARA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69039-2019</t>
        </is>
      </c>
      <c r="B2564" s="1" t="n">
        <v>43826</v>
      </c>
      <c r="C2564" s="1" t="n">
        <v>45586</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69001-2019</t>
        </is>
      </c>
      <c r="B2565" s="1" t="n">
        <v>43826</v>
      </c>
      <c r="C2565" s="1" t="n">
        <v>45586</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1524-2020</t>
        </is>
      </c>
      <c r="B2566" s="1" t="n">
        <v>43826</v>
      </c>
      <c r="C2566" s="1" t="n">
        <v>45586</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69030-2019</t>
        </is>
      </c>
      <c r="B2567" s="1" t="n">
        <v>43826</v>
      </c>
      <c r="C2567" s="1" t="n">
        <v>45586</v>
      </c>
      <c r="D2567" t="inlineStr">
        <is>
          <t>VÄSTRA GÖTALANDS LÄN</t>
        </is>
      </c>
      <c r="E2567" t="inlineStr">
        <is>
          <t>LILLA EDET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1502-2020</t>
        </is>
      </c>
      <c r="B2568" s="1" t="n">
        <v>43826</v>
      </c>
      <c r="C2568" s="1" t="n">
        <v>45586</v>
      </c>
      <c r="D2568" t="inlineStr">
        <is>
          <t>VÄSTRA GÖTALANDS LÄN</t>
        </is>
      </c>
      <c r="E2568" t="inlineStr">
        <is>
          <t>HÄRRYDA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1515-2020</t>
        </is>
      </c>
      <c r="B2569" s="1" t="n">
        <v>43826</v>
      </c>
      <c r="C2569" s="1" t="n">
        <v>45586</v>
      </c>
      <c r="D2569" t="inlineStr">
        <is>
          <t>VÄSTRA GÖTALANDS LÄN</t>
        </is>
      </c>
      <c r="E2569" t="inlineStr">
        <is>
          <t>STRÖMSTAD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1617-2020</t>
        </is>
      </c>
      <c r="B2570" s="1" t="n">
        <v>43829</v>
      </c>
      <c r="C2570" s="1" t="n">
        <v>45586</v>
      </c>
      <c r="D2570" t="inlineStr">
        <is>
          <t>VÄSTRA GÖTALANDS LÄN</t>
        </is>
      </c>
      <c r="E2570" t="inlineStr">
        <is>
          <t>ULRICEHAMN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69134-2019</t>
        </is>
      </c>
      <c r="B2571" s="1" t="n">
        <v>43829</v>
      </c>
      <c r="C2571" s="1" t="n">
        <v>45586</v>
      </c>
      <c r="D2571" t="inlineStr">
        <is>
          <t>VÄSTRA GÖTALANDS LÄN</t>
        </is>
      </c>
      <c r="E2571" t="inlineStr">
        <is>
          <t>VÄNERSBORG</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1608-2020</t>
        </is>
      </c>
      <c r="B2572" s="1" t="n">
        <v>43829</v>
      </c>
      <c r="C2572" s="1" t="n">
        <v>45586</v>
      </c>
      <c r="D2572" t="inlineStr">
        <is>
          <t>VÄSTRA GÖTALANDS LÄN</t>
        </is>
      </c>
      <c r="E2572" t="inlineStr">
        <is>
          <t>MUNKEDAL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59-2020</t>
        </is>
      </c>
      <c r="B2573" s="1" t="n">
        <v>43832</v>
      </c>
      <c r="C2573" s="1" t="n">
        <v>45586</v>
      </c>
      <c r="D2573" t="inlineStr">
        <is>
          <t>VÄSTRA GÖTALANDS LÄN</t>
        </is>
      </c>
      <c r="E2573" t="inlineStr">
        <is>
          <t>VARA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83-2020</t>
        </is>
      </c>
      <c r="B2574" s="1" t="n">
        <v>43832</v>
      </c>
      <c r="C2574" s="1" t="n">
        <v>45586</v>
      </c>
      <c r="D2574" t="inlineStr">
        <is>
          <t>VÄSTRA GÖTALANDS LÄN</t>
        </is>
      </c>
      <c r="E2574" t="inlineStr">
        <is>
          <t>MUNKEDAL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15-2020</t>
        </is>
      </c>
      <c r="B2575" s="1" t="n">
        <v>43832</v>
      </c>
      <c r="C2575" s="1" t="n">
        <v>45586</v>
      </c>
      <c r="D2575" t="inlineStr">
        <is>
          <t>VÄSTRA GÖTALANDS LÄN</t>
        </is>
      </c>
      <c r="E2575" t="inlineStr">
        <is>
          <t>SVENLJUNGA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79-2020</t>
        </is>
      </c>
      <c r="B2576" s="1" t="n">
        <v>43832</v>
      </c>
      <c r="C2576" s="1" t="n">
        <v>45586</v>
      </c>
      <c r="D2576" t="inlineStr">
        <is>
          <t>VÄSTRA GÖTALANDS LÄN</t>
        </is>
      </c>
      <c r="E2576" t="inlineStr">
        <is>
          <t>MUNKEDAL</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112-2020</t>
        </is>
      </c>
      <c r="B2577" s="1" t="n">
        <v>43832</v>
      </c>
      <c r="C2577" s="1" t="n">
        <v>45586</v>
      </c>
      <c r="D2577" t="inlineStr">
        <is>
          <t>VÄSTRA GÖTALANDS LÄN</t>
        </is>
      </c>
      <c r="E2577" t="inlineStr">
        <is>
          <t>STENUNGSUND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1726-2020</t>
        </is>
      </c>
      <c r="B2578" s="1" t="n">
        <v>43832</v>
      </c>
      <c r="C2578" s="1" t="n">
        <v>45586</v>
      </c>
      <c r="D2578" t="inlineStr">
        <is>
          <t>VÄSTRA GÖTALANDS LÄN</t>
        </is>
      </c>
      <c r="E2578" t="inlineStr">
        <is>
          <t>GÖTENE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1737-2020</t>
        </is>
      </c>
      <c r="B2579" s="1" t="n">
        <v>43832</v>
      </c>
      <c r="C2579" s="1" t="n">
        <v>45586</v>
      </c>
      <c r="D2579" t="inlineStr">
        <is>
          <t>VÄSTRA GÖTALANDS LÄN</t>
        </is>
      </c>
      <c r="E2579" t="inlineStr">
        <is>
          <t>GÖTENE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69-2020</t>
        </is>
      </c>
      <c r="B2580" s="1" t="n">
        <v>43832</v>
      </c>
      <c r="C2580" s="1" t="n">
        <v>45586</v>
      </c>
      <c r="D2580" t="inlineStr">
        <is>
          <t>VÄSTRA GÖTALANDS LÄN</t>
        </is>
      </c>
      <c r="E2580" t="inlineStr">
        <is>
          <t>VARA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86-2020</t>
        </is>
      </c>
      <c r="B2581" s="1" t="n">
        <v>43832</v>
      </c>
      <c r="C2581" s="1" t="n">
        <v>45586</v>
      </c>
      <c r="D2581" t="inlineStr">
        <is>
          <t>VÄSTRA GÖTALANDS LÄN</t>
        </is>
      </c>
      <c r="E2581" t="inlineStr">
        <is>
          <t>HERRLJUNGA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148-2020</t>
        </is>
      </c>
      <c r="B2582" s="1" t="n">
        <v>43833</v>
      </c>
      <c r="C2582" s="1" t="n">
        <v>45586</v>
      </c>
      <c r="D2582" t="inlineStr">
        <is>
          <t>VÄSTRA GÖTALANDS LÄN</t>
        </is>
      </c>
      <c r="E2582" t="inlineStr">
        <is>
          <t>LERUM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166-2020</t>
        </is>
      </c>
      <c r="B2583" s="1" t="n">
        <v>43833</v>
      </c>
      <c r="C2583" s="1" t="n">
        <v>45586</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185-2020</t>
        </is>
      </c>
      <c r="B2584" s="1" t="n">
        <v>43833</v>
      </c>
      <c r="C2584" s="1" t="n">
        <v>45586</v>
      </c>
      <c r="D2584" t="inlineStr">
        <is>
          <t>VÄSTRA GÖTALANDS LÄN</t>
        </is>
      </c>
      <c r="E2584" t="inlineStr">
        <is>
          <t>LERUM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190-2020</t>
        </is>
      </c>
      <c r="B2585" s="1" t="n">
        <v>43833</v>
      </c>
      <c r="C2585" s="1" t="n">
        <v>45586</v>
      </c>
      <c r="D2585" t="inlineStr">
        <is>
          <t>VÄSTRA GÖTALANDS LÄN</t>
        </is>
      </c>
      <c r="E2585" t="inlineStr">
        <is>
          <t>LERUM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155-2020</t>
        </is>
      </c>
      <c r="B2586" s="1" t="n">
        <v>43833</v>
      </c>
      <c r="C2586" s="1" t="n">
        <v>45586</v>
      </c>
      <c r="D2586" t="inlineStr">
        <is>
          <t>VÄSTRA GÖTALANDS LÄN</t>
        </is>
      </c>
      <c r="E2586" t="inlineStr">
        <is>
          <t>ULRICEHAMN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178-2020</t>
        </is>
      </c>
      <c r="B2587" s="1" t="n">
        <v>43833</v>
      </c>
      <c r="C2587" s="1" t="n">
        <v>45586</v>
      </c>
      <c r="D2587" t="inlineStr">
        <is>
          <t>VÄSTRA GÖTALANDS LÄN</t>
        </is>
      </c>
      <c r="E2587" t="inlineStr">
        <is>
          <t>LERUM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142-2020</t>
        </is>
      </c>
      <c r="B2588" s="1" t="n">
        <v>43833</v>
      </c>
      <c r="C2588" s="1" t="n">
        <v>45586</v>
      </c>
      <c r="D2588" t="inlineStr">
        <is>
          <t>VÄSTRA GÖTALANDS LÄN</t>
        </is>
      </c>
      <c r="E2588" t="inlineStr">
        <is>
          <t>MUNKEDAL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143-2020</t>
        </is>
      </c>
      <c r="B2589" s="1" t="n">
        <v>43833</v>
      </c>
      <c r="C2589" s="1" t="n">
        <v>45586</v>
      </c>
      <c r="D2589" t="inlineStr">
        <is>
          <t>VÄSTRA GÖTALANDS LÄN</t>
        </is>
      </c>
      <c r="E2589" t="inlineStr">
        <is>
          <t>MUNKEDAL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188-2020</t>
        </is>
      </c>
      <c r="B2590" s="1" t="n">
        <v>43833</v>
      </c>
      <c r="C2590" s="1" t="n">
        <v>45586</v>
      </c>
      <c r="D2590" t="inlineStr">
        <is>
          <t>VÄSTRA GÖTALANDS LÄN</t>
        </is>
      </c>
      <c r="E2590" t="inlineStr">
        <is>
          <t>LERUM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149-2020</t>
        </is>
      </c>
      <c r="B2591" s="1" t="n">
        <v>43833</v>
      </c>
      <c r="C2591" s="1" t="n">
        <v>45586</v>
      </c>
      <c r="D2591" t="inlineStr">
        <is>
          <t>VÄSTRA GÖTALANDS LÄN</t>
        </is>
      </c>
      <c r="E2591" t="inlineStr">
        <is>
          <t>TANUM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267-2020</t>
        </is>
      </c>
      <c r="B2592" s="1" t="n">
        <v>43837</v>
      </c>
      <c r="C2592" s="1" t="n">
        <v>45586</v>
      </c>
      <c r="D2592" t="inlineStr">
        <is>
          <t>VÄSTRA GÖTALANDS LÄN</t>
        </is>
      </c>
      <c r="E2592" t="inlineStr">
        <is>
          <t>SKÖVDE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282-2020</t>
        </is>
      </c>
      <c r="B2593" s="1" t="n">
        <v>43837</v>
      </c>
      <c r="C2593" s="1" t="n">
        <v>45586</v>
      </c>
      <c r="D2593" t="inlineStr">
        <is>
          <t>VÄSTRA GÖTALANDS LÄN</t>
        </is>
      </c>
      <c r="E2593" t="inlineStr">
        <is>
          <t>TANUM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324-2020</t>
        </is>
      </c>
      <c r="B2594" s="1" t="n">
        <v>43837</v>
      </c>
      <c r="C2594" s="1" t="n">
        <v>45586</v>
      </c>
      <c r="D2594" t="inlineStr">
        <is>
          <t>VÄSTRA GÖTALANDS LÄN</t>
        </is>
      </c>
      <c r="E2594" t="inlineStr">
        <is>
          <t>MELLERUD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355-2020</t>
        </is>
      </c>
      <c r="B2595" s="1" t="n">
        <v>43837</v>
      </c>
      <c r="C2595" s="1" t="n">
        <v>45586</v>
      </c>
      <c r="D2595" t="inlineStr">
        <is>
          <t>VÄSTRA GÖTALANDS LÄN</t>
        </is>
      </c>
      <c r="E2595" t="inlineStr">
        <is>
          <t>ALINGSÅS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268-2020</t>
        </is>
      </c>
      <c r="B2596" s="1" t="n">
        <v>43837</v>
      </c>
      <c r="C2596" s="1" t="n">
        <v>45586</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506-2020</t>
        </is>
      </c>
      <c r="B2597" s="1" t="n">
        <v>43837</v>
      </c>
      <c r="C2597" s="1" t="n">
        <v>45586</v>
      </c>
      <c r="D2597" t="inlineStr">
        <is>
          <t>VÄSTRA GÖTALANDS LÄN</t>
        </is>
      </c>
      <c r="E2597" t="inlineStr">
        <is>
          <t>BENGTSFORS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377-2020</t>
        </is>
      </c>
      <c r="B2598" s="1" t="n">
        <v>43837</v>
      </c>
      <c r="C2598" s="1" t="n">
        <v>45586</v>
      </c>
      <c r="D2598" t="inlineStr">
        <is>
          <t>VÄSTRA GÖTALANDS LÄN</t>
        </is>
      </c>
      <c r="E2598" t="inlineStr">
        <is>
          <t>ALE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466-2020</t>
        </is>
      </c>
      <c r="B2599" s="1" t="n">
        <v>43837</v>
      </c>
      <c r="C2599" s="1" t="n">
        <v>45586</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429-2020</t>
        </is>
      </c>
      <c r="B2600" s="1" t="n">
        <v>43837</v>
      </c>
      <c r="C2600" s="1" t="n">
        <v>45586</v>
      </c>
      <c r="D2600" t="inlineStr">
        <is>
          <t>VÄSTRA GÖTALANDS LÄN</t>
        </is>
      </c>
      <c r="E2600" t="inlineStr">
        <is>
          <t>BOLLEBYGD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523-2020</t>
        </is>
      </c>
      <c r="B2601" s="1" t="n">
        <v>43837</v>
      </c>
      <c r="C2601" s="1" t="n">
        <v>45586</v>
      </c>
      <c r="D2601" t="inlineStr">
        <is>
          <t>VÄSTRA GÖTALANDS LÄN</t>
        </is>
      </c>
      <c r="E2601" t="inlineStr">
        <is>
          <t>TIDAHOLM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269-2020</t>
        </is>
      </c>
      <c r="B2602" s="1" t="n">
        <v>43837</v>
      </c>
      <c r="C2602" s="1" t="n">
        <v>45586</v>
      </c>
      <c r="D2602" t="inlineStr">
        <is>
          <t>VÄSTRA GÖTALANDS LÄN</t>
        </is>
      </c>
      <c r="E2602" t="inlineStr">
        <is>
          <t>SKÖVDE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589-2020</t>
        </is>
      </c>
      <c r="B2603" s="1" t="n">
        <v>43838</v>
      </c>
      <c r="C2603" s="1" t="n">
        <v>45586</v>
      </c>
      <c r="D2603" t="inlineStr">
        <is>
          <t>VÄSTRA GÖTALANDS LÄN</t>
        </is>
      </c>
      <c r="E2603" t="inlineStr">
        <is>
          <t>MARK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657-2020</t>
        </is>
      </c>
      <c r="B2604" s="1" t="n">
        <v>43838</v>
      </c>
      <c r="C2604" s="1" t="n">
        <v>45586</v>
      </c>
      <c r="D2604" t="inlineStr">
        <is>
          <t>VÄSTRA GÖTALANDS LÄN</t>
        </is>
      </c>
      <c r="E2604" t="inlineStr">
        <is>
          <t>ÅMÅL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669-2020</t>
        </is>
      </c>
      <c r="B2605" s="1" t="n">
        <v>43838</v>
      </c>
      <c r="C2605" s="1" t="n">
        <v>45586</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1950-2020</t>
        </is>
      </c>
      <c r="B2606" s="1" t="n">
        <v>43838</v>
      </c>
      <c r="C2606" s="1" t="n">
        <v>45586</v>
      </c>
      <c r="D2606" t="inlineStr">
        <is>
          <t>VÄSTRA GÖTALANDS LÄN</t>
        </is>
      </c>
      <c r="E2606" t="inlineStr">
        <is>
          <t>KARLSBORG</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597-2020</t>
        </is>
      </c>
      <c r="B2607" s="1" t="n">
        <v>43838</v>
      </c>
      <c r="C2607" s="1" t="n">
        <v>45586</v>
      </c>
      <c r="D2607" t="inlineStr">
        <is>
          <t>VÄSTRA GÖTALANDS LÄN</t>
        </is>
      </c>
      <c r="E2607" t="inlineStr">
        <is>
          <t>GULLSPÅNG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659-2020</t>
        </is>
      </c>
      <c r="B2608" s="1" t="n">
        <v>43838</v>
      </c>
      <c r="C2608" s="1" t="n">
        <v>45586</v>
      </c>
      <c r="D2608" t="inlineStr">
        <is>
          <t>VÄSTRA GÖTALANDS LÄN</t>
        </is>
      </c>
      <c r="E2608" t="inlineStr">
        <is>
          <t>ÅMÅL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587-2020</t>
        </is>
      </c>
      <c r="B2609" s="1" t="n">
        <v>43838</v>
      </c>
      <c r="C2609" s="1" t="n">
        <v>45586</v>
      </c>
      <c r="D2609" t="inlineStr">
        <is>
          <t>VÄSTRA GÖTALANDS LÄN</t>
        </is>
      </c>
      <c r="E2609" t="inlineStr">
        <is>
          <t>HÄRRYDA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979-2020</t>
        </is>
      </c>
      <c r="B2610" s="1" t="n">
        <v>43839</v>
      </c>
      <c r="C2610" s="1" t="n">
        <v>45586</v>
      </c>
      <c r="D2610" t="inlineStr">
        <is>
          <t>VÄSTRA GÖTALANDS LÄN</t>
        </is>
      </c>
      <c r="E2610" t="inlineStr">
        <is>
          <t>FALKÖPING</t>
        </is>
      </c>
      <c r="G2610" t="n">
        <v>127.7</v>
      </c>
      <c r="H2610" t="n">
        <v>0</v>
      </c>
      <c r="I2610" t="n">
        <v>0</v>
      </c>
      <c r="J2610" t="n">
        <v>0</v>
      </c>
      <c r="K2610" t="n">
        <v>0</v>
      </c>
      <c r="L2610" t="n">
        <v>0</v>
      </c>
      <c r="M2610" t="n">
        <v>0</v>
      </c>
      <c r="N2610" t="n">
        <v>0</v>
      </c>
      <c r="O2610" t="n">
        <v>0</v>
      </c>
      <c r="P2610" t="n">
        <v>0</v>
      </c>
      <c r="Q2610" t="n">
        <v>0</v>
      </c>
      <c r="R2610" s="2" t="inlineStr"/>
    </row>
    <row r="2611" ht="15" customHeight="1">
      <c r="A2611" t="inlineStr">
        <is>
          <t>A 881-2020</t>
        </is>
      </c>
      <c r="B2611" s="1" t="n">
        <v>43839</v>
      </c>
      <c r="C2611" s="1" t="n">
        <v>45586</v>
      </c>
      <c r="D2611" t="inlineStr">
        <is>
          <t>VÄSTRA GÖTALANDS LÄN</t>
        </is>
      </c>
      <c r="E2611" t="inlineStr">
        <is>
          <t>MARIESTAD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1032-2020</t>
        </is>
      </c>
      <c r="B2612" s="1" t="n">
        <v>43839</v>
      </c>
      <c r="C2612" s="1" t="n">
        <v>45586</v>
      </c>
      <c r="D2612" t="inlineStr">
        <is>
          <t>VÄSTRA GÖTALANDS LÄN</t>
        </is>
      </c>
      <c r="E2612" t="inlineStr">
        <is>
          <t>TIBRO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1044-2020</t>
        </is>
      </c>
      <c r="B2613" s="1" t="n">
        <v>43839</v>
      </c>
      <c r="C2613" s="1" t="n">
        <v>45586</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2294-2020</t>
        </is>
      </c>
      <c r="B2614" s="1" t="n">
        <v>43839</v>
      </c>
      <c r="C2614" s="1" t="n">
        <v>45586</v>
      </c>
      <c r="D2614" t="inlineStr">
        <is>
          <t>VÄSTRA GÖTALANDS LÄN</t>
        </is>
      </c>
      <c r="E2614" t="inlineStr">
        <is>
          <t>BORÅS</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848-2020</t>
        </is>
      </c>
      <c r="B2615" s="1" t="n">
        <v>43839</v>
      </c>
      <c r="C2615" s="1" t="n">
        <v>45586</v>
      </c>
      <c r="D2615" t="inlineStr">
        <is>
          <t>VÄSTRA GÖTALANDS LÄN</t>
        </is>
      </c>
      <c r="E2615" t="inlineStr">
        <is>
          <t>TIDAHOLM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894-2020</t>
        </is>
      </c>
      <c r="B2616" s="1" t="n">
        <v>43839</v>
      </c>
      <c r="C2616" s="1" t="n">
        <v>45586</v>
      </c>
      <c r="D2616" t="inlineStr">
        <is>
          <t>VÄSTRA GÖTALANDS LÄN</t>
        </is>
      </c>
      <c r="E2616" t="inlineStr">
        <is>
          <t>BENGTSFORS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983-2020</t>
        </is>
      </c>
      <c r="B2617" s="1" t="n">
        <v>43839</v>
      </c>
      <c r="C2617" s="1" t="n">
        <v>45586</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1029-2020</t>
        </is>
      </c>
      <c r="B2618" s="1" t="n">
        <v>43839</v>
      </c>
      <c r="C2618" s="1" t="n">
        <v>45586</v>
      </c>
      <c r="D2618" t="inlineStr">
        <is>
          <t>VÄSTRA GÖTALANDS LÄN</t>
        </is>
      </c>
      <c r="E2618" t="inlineStr">
        <is>
          <t>MARIESTAD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1040-2020</t>
        </is>
      </c>
      <c r="B2619" s="1" t="n">
        <v>43839</v>
      </c>
      <c r="C2619" s="1" t="n">
        <v>45586</v>
      </c>
      <c r="D2619" t="inlineStr">
        <is>
          <t>VÄSTRA GÖTALANDS LÄN</t>
        </is>
      </c>
      <c r="E2619" t="inlineStr">
        <is>
          <t>GULLSPÅNG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2290-2020</t>
        </is>
      </c>
      <c r="B2620" s="1" t="n">
        <v>43839</v>
      </c>
      <c r="C2620" s="1" t="n">
        <v>45586</v>
      </c>
      <c r="D2620" t="inlineStr">
        <is>
          <t>VÄSTRA GÖTALANDS LÄN</t>
        </is>
      </c>
      <c r="E2620" t="inlineStr">
        <is>
          <t>BORÅS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846-2020</t>
        </is>
      </c>
      <c r="B2621" s="1" t="n">
        <v>43839</v>
      </c>
      <c r="C2621" s="1" t="n">
        <v>45586</v>
      </c>
      <c r="D2621" t="inlineStr">
        <is>
          <t>VÄSTRA GÖTALANDS LÄN</t>
        </is>
      </c>
      <c r="E2621" t="inlineStr">
        <is>
          <t>HJO</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865-2020</t>
        </is>
      </c>
      <c r="B2622" s="1" t="n">
        <v>43839</v>
      </c>
      <c r="C2622" s="1" t="n">
        <v>45586</v>
      </c>
      <c r="D2622" t="inlineStr">
        <is>
          <t>VÄSTRA GÖTALANDS LÄN</t>
        </is>
      </c>
      <c r="E2622" t="inlineStr">
        <is>
          <t>MARIESTAD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1196-2020</t>
        </is>
      </c>
      <c r="B2623" s="1" t="n">
        <v>43840</v>
      </c>
      <c r="C2623" s="1" t="n">
        <v>45586</v>
      </c>
      <c r="D2623" t="inlineStr">
        <is>
          <t>VÄSTRA GÖTALANDS LÄN</t>
        </is>
      </c>
      <c r="E2623" t="inlineStr">
        <is>
          <t>ÅMÅL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1240-2020</t>
        </is>
      </c>
      <c r="B2624" s="1" t="n">
        <v>43840</v>
      </c>
      <c r="C2624" s="1" t="n">
        <v>45586</v>
      </c>
      <c r="D2624" t="inlineStr">
        <is>
          <t>VÄSTRA GÖTALANDS LÄN</t>
        </is>
      </c>
      <c r="E2624" t="inlineStr">
        <is>
          <t>ORUST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1255-2020</t>
        </is>
      </c>
      <c r="B2625" s="1" t="n">
        <v>43840</v>
      </c>
      <c r="C2625" s="1" t="n">
        <v>45586</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1244-2020</t>
        </is>
      </c>
      <c r="B2626" s="1" t="n">
        <v>43840</v>
      </c>
      <c r="C2626" s="1" t="n">
        <v>45586</v>
      </c>
      <c r="D2626" t="inlineStr">
        <is>
          <t>VÄSTRA GÖTALANDS LÄN</t>
        </is>
      </c>
      <c r="E2626" t="inlineStr">
        <is>
          <t>ORUST</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2328-2020</t>
        </is>
      </c>
      <c r="B2627" s="1" t="n">
        <v>43840</v>
      </c>
      <c r="C2627" s="1" t="n">
        <v>45586</v>
      </c>
      <c r="D2627" t="inlineStr">
        <is>
          <t>VÄSTRA GÖTALANDS LÄN</t>
        </is>
      </c>
      <c r="E2627" t="inlineStr">
        <is>
          <t>LILLA EDET</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1274-2020</t>
        </is>
      </c>
      <c r="B2628" s="1" t="n">
        <v>43841</v>
      </c>
      <c r="C2628" s="1" t="n">
        <v>45586</v>
      </c>
      <c r="D2628" t="inlineStr">
        <is>
          <t>VÄSTRA GÖTALANDS LÄN</t>
        </is>
      </c>
      <c r="E2628" t="inlineStr">
        <is>
          <t>ÅMÅL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1285-2020</t>
        </is>
      </c>
      <c r="B2629" s="1" t="n">
        <v>43842</v>
      </c>
      <c r="C2629" s="1" t="n">
        <v>45586</v>
      </c>
      <c r="D2629" t="inlineStr">
        <is>
          <t>VÄSTRA GÖTALANDS LÄN</t>
        </is>
      </c>
      <c r="E2629" t="inlineStr">
        <is>
          <t>ULRICEHAMN</t>
        </is>
      </c>
      <c r="G2629" t="n">
        <v>2.4</v>
      </c>
      <c r="H2629" t="n">
        <v>0</v>
      </c>
      <c r="I2629" t="n">
        <v>0</v>
      </c>
      <c r="J2629" t="n">
        <v>0</v>
      </c>
      <c r="K2629" t="n">
        <v>0</v>
      </c>
      <c r="L2629" t="n">
        <v>0</v>
      </c>
      <c r="M2629" t="n">
        <v>0</v>
      </c>
      <c r="N2629" t="n">
        <v>0</v>
      </c>
      <c r="O2629" t="n">
        <v>0</v>
      </c>
      <c r="P2629" t="n">
        <v>0</v>
      </c>
      <c r="Q2629" t="n">
        <v>0</v>
      </c>
      <c r="R2629" s="2" t="inlineStr"/>
      <c r="U2629">
        <f>HYPERLINK("https://klasma.github.io/Logging_1491/knärot/A 1285-2020 karta knärot.png", "A 1285-2020")</f>
        <v/>
      </c>
      <c r="V2629">
        <f>HYPERLINK("https://klasma.github.io/Logging_1491/klagomål/A 1285-2020 FSC-klagomål.docx", "A 1285-2020")</f>
        <v/>
      </c>
      <c r="W2629">
        <f>HYPERLINK("https://klasma.github.io/Logging_1491/klagomålsmail/A 1285-2020 FSC-klagomål mail.docx", "A 1285-2020")</f>
        <v/>
      </c>
      <c r="X2629">
        <f>HYPERLINK("https://klasma.github.io/Logging_1491/tillsyn/A 1285-2020 tillsynsbegäran.docx", "A 1285-2020")</f>
        <v/>
      </c>
      <c r="Y2629">
        <f>HYPERLINK("https://klasma.github.io/Logging_1491/tillsynsmail/A 1285-2020 tillsynsbegäran mail.docx", "A 1285-2020")</f>
        <v/>
      </c>
    </row>
    <row r="2630" ht="15" customHeight="1">
      <c r="A2630" t="inlineStr">
        <is>
          <t>A 1290-2020</t>
        </is>
      </c>
      <c r="B2630" s="1" t="n">
        <v>43842</v>
      </c>
      <c r="C2630" s="1" t="n">
        <v>45586</v>
      </c>
      <c r="D2630" t="inlineStr">
        <is>
          <t>VÄSTRA GÖTALANDS LÄN</t>
        </is>
      </c>
      <c r="E2630" t="inlineStr">
        <is>
          <t>BORÅS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1374-2020</t>
        </is>
      </c>
      <c r="B2631" s="1" t="n">
        <v>43843</v>
      </c>
      <c r="C2631" s="1" t="n">
        <v>45586</v>
      </c>
      <c r="D2631" t="inlineStr">
        <is>
          <t>VÄSTRA GÖTALANDS LÄN</t>
        </is>
      </c>
      <c r="E2631" t="inlineStr">
        <is>
          <t>VARA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1369-2020</t>
        </is>
      </c>
      <c r="B2632" s="1" t="n">
        <v>43843</v>
      </c>
      <c r="C2632" s="1" t="n">
        <v>45586</v>
      </c>
      <c r="D2632" t="inlineStr">
        <is>
          <t>VÄSTRA GÖTALANDS LÄN</t>
        </is>
      </c>
      <c r="E2632" t="inlineStr">
        <is>
          <t>TJÖRN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1472-2020</t>
        </is>
      </c>
      <c r="B2633" s="1" t="n">
        <v>43843</v>
      </c>
      <c r="C2633" s="1" t="n">
        <v>45586</v>
      </c>
      <c r="D2633" t="inlineStr">
        <is>
          <t>VÄSTRA GÖTALANDS LÄN</t>
        </is>
      </c>
      <c r="E2633" t="inlineStr">
        <is>
          <t>MARIESTAD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1428-2020</t>
        </is>
      </c>
      <c r="B2634" s="1" t="n">
        <v>43843</v>
      </c>
      <c r="C2634" s="1" t="n">
        <v>45586</v>
      </c>
      <c r="D2634" t="inlineStr">
        <is>
          <t>VÄSTRA GÖTALANDS LÄN</t>
        </is>
      </c>
      <c r="E2634" t="inlineStr">
        <is>
          <t>VARA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1521-2020</t>
        </is>
      </c>
      <c r="B2635" s="1" t="n">
        <v>43843</v>
      </c>
      <c r="C2635" s="1" t="n">
        <v>45586</v>
      </c>
      <c r="D2635" t="inlineStr">
        <is>
          <t>VÄSTRA GÖTALANDS LÄN</t>
        </is>
      </c>
      <c r="E2635" t="inlineStr">
        <is>
          <t>ALINGSÅS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1592-2020</t>
        </is>
      </c>
      <c r="B2636" s="1" t="n">
        <v>43844</v>
      </c>
      <c r="C2636" s="1" t="n">
        <v>45586</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1785-2020</t>
        </is>
      </c>
      <c r="B2637" s="1" t="n">
        <v>43844</v>
      </c>
      <c r="C2637" s="1" t="n">
        <v>45586</v>
      </c>
      <c r="D2637" t="inlineStr">
        <is>
          <t>VÄSTRA GÖTALANDS LÄN</t>
        </is>
      </c>
      <c r="E2637" t="inlineStr">
        <is>
          <t>TANUM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1835-2020</t>
        </is>
      </c>
      <c r="B2638" s="1" t="n">
        <v>43844</v>
      </c>
      <c r="C2638" s="1" t="n">
        <v>45586</v>
      </c>
      <c r="D2638" t="inlineStr">
        <is>
          <t>VÄSTRA GÖTALANDS LÄN</t>
        </is>
      </c>
      <c r="E2638" t="inlineStr">
        <is>
          <t>ALINGSÅS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1593-2020</t>
        </is>
      </c>
      <c r="B2639" s="1" t="n">
        <v>43844</v>
      </c>
      <c r="C2639" s="1" t="n">
        <v>45586</v>
      </c>
      <c r="D2639" t="inlineStr">
        <is>
          <t>VÄSTRA GÖTALANDS LÄN</t>
        </is>
      </c>
      <c r="E2639" t="inlineStr">
        <is>
          <t>HERRLJUNGA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1588-2020</t>
        </is>
      </c>
      <c r="B2640" s="1" t="n">
        <v>43844</v>
      </c>
      <c r="C2640" s="1" t="n">
        <v>45586</v>
      </c>
      <c r="D2640" t="inlineStr">
        <is>
          <t>VÄSTRA GÖTALANDS LÄN</t>
        </is>
      </c>
      <c r="E2640" t="inlineStr">
        <is>
          <t>HJO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1618-2020</t>
        </is>
      </c>
      <c r="B2641" s="1" t="n">
        <v>43844</v>
      </c>
      <c r="C2641" s="1" t="n">
        <v>45586</v>
      </c>
      <c r="D2641" t="inlineStr">
        <is>
          <t>VÄSTRA GÖTALANDS LÄN</t>
        </is>
      </c>
      <c r="E2641" t="inlineStr">
        <is>
          <t>GULLSPÅNG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1846-2020</t>
        </is>
      </c>
      <c r="B2642" s="1" t="n">
        <v>43844</v>
      </c>
      <c r="C2642" s="1" t="n">
        <v>45586</v>
      </c>
      <c r="D2642" t="inlineStr">
        <is>
          <t>VÄSTRA GÖTALANDS LÄN</t>
        </is>
      </c>
      <c r="E2642" t="inlineStr">
        <is>
          <t>MARK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3267-2020</t>
        </is>
      </c>
      <c r="B2643" s="1" t="n">
        <v>43844</v>
      </c>
      <c r="C2643" s="1" t="n">
        <v>45586</v>
      </c>
      <c r="D2643" t="inlineStr">
        <is>
          <t>VÄSTRA GÖTALANDS LÄN</t>
        </is>
      </c>
      <c r="E2643" t="inlineStr">
        <is>
          <t>VÄNERSBORG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2014-2020</t>
        </is>
      </c>
      <c r="B2644" s="1" t="n">
        <v>43845</v>
      </c>
      <c r="C2644" s="1" t="n">
        <v>45586</v>
      </c>
      <c r="D2644" t="inlineStr">
        <is>
          <t>VÄSTRA GÖTALANDS LÄN</t>
        </is>
      </c>
      <c r="E2644" t="inlineStr">
        <is>
          <t>LERUM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1884-2020</t>
        </is>
      </c>
      <c r="B2645" s="1" t="n">
        <v>43845</v>
      </c>
      <c r="C2645" s="1" t="n">
        <v>45586</v>
      </c>
      <c r="D2645" t="inlineStr">
        <is>
          <t>VÄSTRA GÖTALANDS LÄN</t>
        </is>
      </c>
      <c r="E2645" t="inlineStr">
        <is>
          <t>LERUM</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1952-2020</t>
        </is>
      </c>
      <c r="B2646" s="1" t="n">
        <v>43845</v>
      </c>
      <c r="C2646" s="1" t="n">
        <v>45586</v>
      </c>
      <c r="D2646" t="inlineStr">
        <is>
          <t>VÄSTRA GÖTALANDS LÄN</t>
        </is>
      </c>
      <c r="E2646" t="inlineStr">
        <is>
          <t>TIDAHOLM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2023-2020</t>
        </is>
      </c>
      <c r="B2647" s="1" t="n">
        <v>43845</v>
      </c>
      <c r="C2647" s="1" t="n">
        <v>45586</v>
      </c>
      <c r="D2647" t="inlineStr">
        <is>
          <t>VÄSTRA GÖTALANDS LÄN</t>
        </is>
      </c>
      <c r="E2647" t="inlineStr">
        <is>
          <t>LERUM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2081-2020</t>
        </is>
      </c>
      <c r="B2648" s="1" t="n">
        <v>43845</v>
      </c>
      <c r="C2648" s="1" t="n">
        <v>45586</v>
      </c>
      <c r="D2648" t="inlineStr">
        <is>
          <t>VÄSTRA GÖTALANDS LÄN</t>
        </is>
      </c>
      <c r="E2648" t="inlineStr">
        <is>
          <t>HERRLJUNGA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1949-2020</t>
        </is>
      </c>
      <c r="B2649" s="1" t="n">
        <v>43845</v>
      </c>
      <c r="C2649" s="1" t="n">
        <v>45586</v>
      </c>
      <c r="D2649" t="inlineStr">
        <is>
          <t>VÄSTRA GÖTALANDS LÄN</t>
        </is>
      </c>
      <c r="E2649" t="inlineStr">
        <is>
          <t>ALINGSÅS</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2034-2020</t>
        </is>
      </c>
      <c r="B2650" s="1" t="n">
        <v>43845</v>
      </c>
      <c r="C2650" s="1" t="n">
        <v>45586</v>
      </c>
      <c r="D2650" t="inlineStr">
        <is>
          <t>VÄSTRA GÖTALANDS LÄN</t>
        </is>
      </c>
      <c r="E2650" t="inlineStr">
        <is>
          <t>LERUM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2049-2020</t>
        </is>
      </c>
      <c r="B2651" s="1" t="n">
        <v>43845</v>
      </c>
      <c r="C2651" s="1" t="n">
        <v>45586</v>
      </c>
      <c r="D2651" t="inlineStr">
        <is>
          <t>VÄSTRA GÖTALANDS LÄN</t>
        </is>
      </c>
      <c r="E2651" t="inlineStr">
        <is>
          <t>TROLLHÄTTAN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2031-2020</t>
        </is>
      </c>
      <c r="B2652" s="1" t="n">
        <v>43845</v>
      </c>
      <c r="C2652" s="1" t="n">
        <v>45586</v>
      </c>
      <c r="D2652" t="inlineStr">
        <is>
          <t>VÄSTRA GÖTALANDS LÄN</t>
        </is>
      </c>
      <c r="E2652" t="inlineStr">
        <is>
          <t>LERUM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2079-2020</t>
        </is>
      </c>
      <c r="B2653" s="1" t="n">
        <v>43845</v>
      </c>
      <c r="C2653" s="1" t="n">
        <v>45586</v>
      </c>
      <c r="D2653" t="inlineStr">
        <is>
          <t>VÄSTRA GÖTALANDS LÄN</t>
        </is>
      </c>
      <c r="E2653" t="inlineStr">
        <is>
          <t>HERRLJUNGA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1883-2020</t>
        </is>
      </c>
      <c r="B2654" s="1" t="n">
        <v>43845</v>
      </c>
      <c r="C2654" s="1" t="n">
        <v>45586</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3616-2020</t>
        </is>
      </c>
      <c r="B2655" s="1" t="n">
        <v>43845</v>
      </c>
      <c r="C2655" s="1" t="n">
        <v>45586</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2145-2020</t>
        </is>
      </c>
      <c r="B2656" s="1" t="n">
        <v>43846</v>
      </c>
      <c r="C2656" s="1" t="n">
        <v>45586</v>
      </c>
      <c r="D2656" t="inlineStr">
        <is>
          <t>VÄSTRA GÖTALANDS LÄN</t>
        </is>
      </c>
      <c r="E2656" t="inlineStr">
        <is>
          <t>UDDEVALLA</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2212-2020</t>
        </is>
      </c>
      <c r="B2657" s="1" t="n">
        <v>43846</v>
      </c>
      <c r="C2657" s="1" t="n">
        <v>45586</v>
      </c>
      <c r="D2657" t="inlineStr">
        <is>
          <t>VÄSTRA GÖTALANDS LÄN</t>
        </is>
      </c>
      <c r="E2657" t="inlineStr">
        <is>
          <t>MARK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2230-2020</t>
        </is>
      </c>
      <c r="B2658" s="1" t="n">
        <v>43846</v>
      </c>
      <c r="C2658" s="1" t="n">
        <v>45586</v>
      </c>
      <c r="D2658" t="inlineStr">
        <is>
          <t>VÄSTRA GÖTALANDS LÄN</t>
        </is>
      </c>
      <c r="E2658" t="inlineStr">
        <is>
          <t>UDDEVALLA</t>
        </is>
      </c>
      <c r="F2658" t="inlineStr">
        <is>
          <t>Kyrkan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2242-2020</t>
        </is>
      </c>
      <c r="B2659" s="1" t="n">
        <v>43846</v>
      </c>
      <c r="C2659" s="1" t="n">
        <v>45586</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2252-2020</t>
        </is>
      </c>
      <c r="B2660" s="1" t="n">
        <v>43846</v>
      </c>
      <c r="C2660" s="1" t="n">
        <v>45586</v>
      </c>
      <c r="D2660" t="inlineStr">
        <is>
          <t>VÄSTRA GÖTALANDS LÄN</t>
        </is>
      </c>
      <c r="E2660" t="inlineStr">
        <is>
          <t>MARIESTAD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2312-2020</t>
        </is>
      </c>
      <c r="B2661" s="1" t="n">
        <v>43846</v>
      </c>
      <c r="C2661" s="1" t="n">
        <v>45586</v>
      </c>
      <c r="D2661" t="inlineStr">
        <is>
          <t>VÄSTRA GÖTALANDS LÄN</t>
        </is>
      </c>
      <c r="E2661" t="inlineStr">
        <is>
          <t>BENGTSFORS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2156-2020</t>
        </is>
      </c>
      <c r="B2662" s="1" t="n">
        <v>43846</v>
      </c>
      <c r="C2662" s="1" t="n">
        <v>45586</v>
      </c>
      <c r="D2662" t="inlineStr">
        <is>
          <t>VÄSTRA GÖTALANDS LÄN</t>
        </is>
      </c>
      <c r="E2662" t="inlineStr">
        <is>
          <t>ÅMÅL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2249-2020</t>
        </is>
      </c>
      <c r="B2663" s="1" t="n">
        <v>43846</v>
      </c>
      <c r="C2663" s="1" t="n">
        <v>45586</v>
      </c>
      <c r="D2663" t="inlineStr">
        <is>
          <t>VÄSTRA GÖTALANDS LÄN</t>
        </is>
      </c>
      <c r="E2663" t="inlineStr">
        <is>
          <t>MARIESTAD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2239-2020</t>
        </is>
      </c>
      <c r="B2664" s="1" t="n">
        <v>43846</v>
      </c>
      <c r="C2664" s="1" t="n">
        <v>45586</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2338-2020</t>
        </is>
      </c>
      <c r="B2665" s="1" t="n">
        <v>43846</v>
      </c>
      <c r="C2665" s="1" t="n">
        <v>45586</v>
      </c>
      <c r="D2665" t="inlineStr">
        <is>
          <t>VÄSTRA GÖTALANDS LÄN</t>
        </is>
      </c>
      <c r="E2665" t="inlineStr">
        <is>
          <t>ULRICEHAMN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2148-2020</t>
        </is>
      </c>
      <c r="B2666" s="1" t="n">
        <v>43846</v>
      </c>
      <c r="C2666" s="1" t="n">
        <v>45586</v>
      </c>
      <c r="D2666" t="inlineStr">
        <is>
          <t>VÄSTRA GÖTALANDS LÄN</t>
        </is>
      </c>
      <c r="E2666" t="inlineStr">
        <is>
          <t>VÄNERSBORG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2224-2020</t>
        </is>
      </c>
      <c r="B2667" s="1" t="n">
        <v>43846</v>
      </c>
      <c r="C2667" s="1" t="n">
        <v>45586</v>
      </c>
      <c r="D2667" t="inlineStr">
        <is>
          <t>VÄSTRA GÖTALANDS LÄN</t>
        </is>
      </c>
      <c r="E2667" t="inlineStr">
        <is>
          <t>TJÖRN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2231-2020</t>
        </is>
      </c>
      <c r="B2668" s="1" t="n">
        <v>43846</v>
      </c>
      <c r="C2668" s="1" t="n">
        <v>45586</v>
      </c>
      <c r="D2668" t="inlineStr">
        <is>
          <t>VÄSTRA GÖTALANDS LÄN</t>
        </is>
      </c>
      <c r="E2668" t="inlineStr">
        <is>
          <t>MARK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2245-2020</t>
        </is>
      </c>
      <c r="B2669" s="1" t="n">
        <v>43846</v>
      </c>
      <c r="C2669" s="1" t="n">
        <v>45586</v>
      </c>
      <c r="D2669" t="inlineStr">
        <is>
          <t>VÄSTRA GÖTALANDS LÄN</t>
        </is>
      </c>
      <c r="E2669" t="inlineStr">
        <is>
          <t>UDDEVALLA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2257-2020</t>
        </is>
      </c>
      <c r="B2670" s="1" t="n">
        <v>43846</v>
      </c>
      <c r="C2670" s="1" t="n">
        <v>45586</v>
      </c>
      <c r="D2670" t="inlineStr">
        <is>
          <t>VÄSTRA GÖTALANDS LÄN</t>
        </is>
      </c>
      <c r="E2670" t="inlineStr">
        <is>
          <t>ALINGSÅS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2300-2020</t>
        </is>
      </c>
      <c r="B2671" s="1" t="n">
        <v>43846</v>
      </c>
      <c r="C2671" s="1" t="n">
        <v>45586</v>
      </c>
      <c r="D2671" t="inlineStr">
        <is>
          <t>VÄSTRA GÖTALANDS LÄN</t>
        </is>
      </c>
      <c r="E2671" t="inlineStr">
        <is>
          <t>MELLERUD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2322-2020</t>
        </is>
      </c>
      <c r="B2672" s="1" t="n">
        <v>43846</v>
      </c>
      <c r="C2672" s="1" t="n">
        <v>45586</v>
      </c>
      <c r="D2672" t="inlineStr">
        <is>
          <t>VÄSTRA GÖTALANDS LÄN</t>
        </is>
      </c>
      <c r="E2672" t="inlineStr">
        <is>
          <t>MARIESTAD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3908-2020</t>
        </is>
      </c>
      <c r="B2673" s="1" t="n">
        <v>43846</v>
      </c>
      <c r="C2673" s="1" t="n">
        <v>45586</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2321-2020</t>
        </is>
      </c>
      <c r="B2674" s="1" t="n">
        <v>43846</v>
      </c>
      <c r="C2674" s="1" t="n">
        <v>45586</v>
      </c>
      <c r="D2674" t="inlineStr">
        <is>
          <t>VÄSTRA GÖTALANDS LÄN</t>
        </is>
      </c>
      <c r="E2674" t="inlineStr">
        <is>
          <t>MELLERUD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2352-2020</t>
        </is>
      </c>
      <c r="B2675" s="1" t="n">
        <v>43846</v>
      </c>
      <c r="C2675" s="1" t="n">
        <v>45586</v>
      </c>
      <c r="D2675" t="inlineStr">
        <is>
          <t>VÄSTRA GÖTALANDS LÄN</t>
        </is>
      </c>
      <c r="E2675" t="inlineStr">
        <is>
          <t>GÖTENE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2299-2020</t>
        </is>
      </c>
      <c r="B2676" s="1" t="n">
        <v>43846</v>
      </c>
      <c r="C2676" s="1" t="n">
        <v>45586</v>
      </c>
      <c r="D2676" t="inlineStr">
        <is>
          <t>VÄSTRA GÖTALANDS LÄN</t>
        </is>
      </c>
      <c r="E2676" t="inlineStr">
        <is>
          <t>TIDAHOLM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2423-2020</t>
        </is>
      </c>
      <c r="B2677" s="1" t="n">
        <v>43847</v>
      </c>
      <c r="C2677" s="1" t="n">
        <v>45586</v>
      </c>
      <c r="D2677" t="inlineStr">
        <is>
          <t>VÄSTRA GÖTALANDS LÄN</t>
        </is>
      </c>
      <c r="E2677" t="inlineStr">
        <is>
          <t>KUNGÄLV</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2602-2020</t>
        </is>
      </c>
      <c r="B2678" s="1" t="n">
        <v>43847</v>
      </c>
      <c r="C2678" s="1" t="n">
        <v>45586</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4416-2020</t>
        </is>
      </c>
      <c r="B2679" s="1" t="n">
        <v>43847</v>
      </c>
      <c r="C2679" s="1" t="n">
        <v>45586</v>
      </c>
      <c r="D2679" t="inlineStr">
        <is>
          <t>VÄSTRA GÖTALANDS LÄN</t>
        </is>
      </c>
      <c r="E2679" t="inlineStr">
        <is>
          <t>VARA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2632-2020</t>
        </is>
      </c>
      <c r="B2680" s="1" t="n">
        <v>43847</v>
      </c>
      <c r="C2680" s="1" t="n">
        <v>45586</v>
      </c>
      <c r="D2680" t="inlineStr">
        <is>
          <t>VÄSTRA GÖTALANDS LÄN</t>
        </is>
      </c>
      <c r="E2680" t="inlineStr">
        <is>
          <t>ALINGSÅS</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4110-2020</t>
        </is>
      </c>
      <c r="B2681" s="1" t="n">
        <v>43847</v>
      </c>
      <c r="C2681" s="1" t="n">
        <v>45586</v>
      </c>
      <c r="D2681" t="inlineStr">
        <is>
          <t>VÄSTRA GÖTALANDS LÄN</t>
        </is>
      </c>
      <c r="E2681" t="inlineStr">
        <is>
          <t>TIDAHOLM</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2545-2020</t>
        </is>
      </c>
      <c r="B2682" s="1" t="n">
        <v>43847</v>
      </c>
      <c r="C2682" s="1" t="n">
        <v>45586</v>
      </c>
      <c r="D2682" t="inlineStr">
        <is>
          <t>VÄSTRA GÖTALANDS LÄN</t>
        </is>
      </c>
      <c r="E2682" t="inlineStr">
        <is>
          <t>BENGTSFORS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2451-2020</t>
        </is>
      </c>
      <c r="B2683" s="1" t="n">
        <v>43847</v>
      </c>
      <c r="C2683" s="1" t="n">
        <v>45586</v>
      </c>
      <c r="D2683" t="inlineStr">
        <is>
          <t>VÄSTRA GÖTALANDS LÄN</t>
        </is>
      </c>
      <c r="E2683" t="inlineStr">
        <is>
          <t>HERRLJUNGA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2662-2020</t>
        </is>
      </c>
      <c r="B2684" s="1" t="n">
        <v>43849</v>
      </c>
      <c r="C2684" s="1" t="n">
        <v>45586</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2949-2020</t>
        </is>
      </c>
      <c r="B2685" s="1" t="n">
        <v>43850</v>
      </c>
      <c r="C2685" s="1" t="n">
        <v>45586</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2736-2020</t>
        </is>
      </c>
      <c r="B2686" s="1" t="n">
        <v>43850</v>
      </c>
      <c r="C2686" s="1" t="n">
        <v>45586</v>
      </c>
      <c r="D2686" t="inlineStr">
        <is>
          <t>VÄSTRA GÖTALANDS LÄN</t>
        </is>
      </c>
      <c r="E2686" t="inlineStr">
        <is>
          <t>MÖLNDAL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2819-2020</t>
        </is>
      </c>
      <c r="B2687" s="1" t="n">
        <v>43850</v>
      </c>
      <c r="C2687" s="1" t="n">
        <v>45586</v>
      </c>
      <c r="D2687" t="inlineStr">
        <is>
          <t>VÄSTRA GÖTALANDS LÄN</t>
        </is>
      </c>
      <c r="E2687" t="inlineStr">
        <is>
          <t>FALKÖPING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2690-2020</t>
        </is>
      </c>
      <c r="B2688" s="1" t="n">
        <v>43850</v>
      </c>
      <c r="C2688" s="1" t="n">
        <v>45586</v>
      </c>
      <c r="D2688" t="inlineStr">
        <is>
          <t>VÄSTRA GÖTALANDS LÄN</t>
        </is>
      </c>
      <c r="E2688" t="inlineStr">
        <is>
          <t>GULLSPÅNG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2843-2020</t>
        </is>
      </c>
      <c r="B2689" s="1" t="n">
        <v>43850</v>
      </c>
      <c r="C2689" s="1" t="n">
        <v>45586</v>
      </c>
      <c r="D2689" t="inlineStr">
        <is>
          <t>VÄSTRA GÖTALANDS LÄN</t>
        </is>
      </c>
      <c r="E2689" t="inlineStr">
        <is>
          <t>ALE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2882-2020</t>
        </is>
      </c>
      <c r="B2690" s="1" t="n">
        <v>43850</v>
      </c>
      <c r="C2690" s="1" t="n">
        <v>45586</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2981-2020</t>
        </is>
      </c>
      <c r="B2691" s="1" t="n">
        <v>43850</v>
      </c>
      <c r="C2691" s="1" t="n">
        <v>45586</v>
      </c>
      <c r="D2691" t="inlineStr">
        <is>
          <t>VÄSTRA GÖTALANDS LÄN</t>
        </is>
      </c>
      <c r="E2691" t="inlineStr">
        <is>
          <t>VÄNERSBORG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3040-2020</t>
        </is>
      </c>
      <c r="B2692" s="1" t="n">
        <v>43851</v>
      </c>
      <c r="C2692" s="1" t="n">
        <v>45586</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3107-2020</t>
        </is>
      </c>
      <c r="B2693" s="1" t="n">
        <v>43851</v>
      </c>
      <c r="C2693" s="1" t="n">
        <v>45586</v>
      </c>
      <c r="D2693" t="inlineStr">
        <is>
          <t>VÄSTRA GÖTALANDS LÄN</t>
        </is>
      </c>
      <c r="E2693" t="inlineStr">
        <is>
          <t>SKÖVDE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3158-2020</t>
        </is>
      </c>
      <c r="B2694" s="1" t="n">
        <v>43851</v>
      </c>
      <c r="C2694" s="1" t="n">
        <v>45586</v>
      </c>
      <c r="D2694" t="inlineStr">
        <is>
          <t>VÄSTRA GÖTALANDS LÄN</t>
        </is>
      </c>
      <c r="E2694" t="inlineStr">
        <is>
          <t>BORÅS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4638-2020</t>
        </is>
      </c>
      <c r="B2695" s="1" t="n">
        <v>43851</v>
      </c>
      <c r="C2695" s="1" t="n">
        <v>45586</v>
      </c>
      <c r="D2695" t="inlineStr">
        <is>
          <t>VÄSTRA GÖTALANDS LÄN</t>
        </is>
      </c>
      <c r="E2695" t="inlineStr">
        <is>
          <t>MUNKEDAL</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4601-2020</t>
        </is>
      </c>
      <c r="B2696" s="1" t="n">
        <v>43851</v>
      </c>
      <c r="C2696" s="1" t="n">
        <v>45586</v>
      </c>
      <c r="D2696" t="inlineStr">
        <is>
          <t>VÄSTRA GÖTALANDS LÄN</t>
        </is>
      </c>
      <c r="E2696" t="inlineStr">
        <is>
          <t>DALS-ED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3041-2020</t>
        </is>
      </c>
      <c r="B2697" s="1" t="n">
        <v>43851</v>
      </c>
      <c r="C2697" s="1" t="n">
        <v>45586</v>
      </c>
      <c r="D2697" t="inlineStr">
        <is>
          <t>VÄSTRA GÖTALANDS LÄN</t>
        </is>
      </c>
      <c r="E2697" t="inlineStr">
        <is>
          <t>VÅRGÅRDA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3366-2020</t>
        </is>
      </c>
      <c r="B2698" s="1" t="n">
        <v>43852</v>
      </c>
      <c r="C2698" s="1" t="n">
        <v>45586</v>
      </c>
      <c r="D2698" t="inlineStr">
        <is>
          <t>VÄSTRA GÖTALANDS LÄN</t>
        </is>
      </c>
      <c r="E2698" t="inlineStr">
        <is>
          <t>GULLSPÅNG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3275-2020</t>
        </is>
      </c>
      <c r="B2699" s="1" t="n">
        <v>43852</v>
      </c>
      <c r="C2699" s="1" t="n">
        <v>45586</v>
      </c>
      <c r="D2699" t="inlineStr">
        <is>
          <t>VÄSTRA GÖTALANDS LÄN</t>
        </is>
      </c>
      <c r="E2699" t="inlineStr">
        <is>
          <t>MARIESTAD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3345-2020</t>
        </is>
      </c>
      <c r="B2700" s="1" t="n">
        <v>43852</v>
      </c>
      <c r="C2700" s="1" t="n">
        <v>45586</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3446-2020</t>
        </is>
      </c>
      <c r="B2701" s="1" t="n">
        <v>43852</v>
      </c>
      <c r="C2701" s="1" t="n">
        <v>45586</v>
      </c>
      <c r="D2701" t="inlineStr">
        <is>
          <t>VÄSTRA GÖTALANDS LÄN</t>
        </is>
      </c>
      <c r="E2701" t="inlineStr">
        <is>
          <t>FÄRGELANDA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3273-2020</t>
        </is>
      </c>
      <c r="B2702" s="1" t="n">
        <v>43852</v>
      </c>
      <c r="C2702" s="1" t="n">
        <v>45586</v>
      </c>
      <c r="D2702" t="inlineStr">
        <is>
          <t>VÄSTRA GÖTALANDS LÄN</t>
        </is>
      </c>
      <c r="E2702" t="inlineStr">
        <is>
          <t>TÖREBODA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3398-2020</t>
        </is>
      </c>
      <c r="B2703" s="1" t="n">
        <v>43852</v>
      </c>
      <c r="C2703" s="1" t="n">
        <v>45586</v>
      </c>
      <c r="D2703" t="inlineStr">
        <is>
          <t>VÄSTRA GÖTALANDS LÄN</t>
        </is>
      </c>
      <c r="E2703" t="inlineStr">
        <is>
          <t>FÄRGELANDA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3269-2020</t>
        </is>
      </c>
      <c r="B2704" s="1" t="n">
        <v>43852</v>
      </c>
      <c r="C2704" s="1" t="n">
        <v>45586</v>
      </c>
      <c r="D2704" t="inlineStr">
        <is>
          <t>VÄSTRA GÖTALANDS LÄN</t>
        </is>
      </c>
      <c r="E2704" t="inlineStr">
        <is>
          <t>TÖREBODA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3342-2020</t>
        </is>
      </c>
      <c r="B2705" s="1" t="n">
        <v>43852</v>
      </c>
      <c r="C2705" s="1" t="n">
        <v>45586</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4572-2020</t>
        </is>
      </c>
      <c r="B2706" s="1" t="n">
        <v>43852</v>
      </c>
      <c r="C2706" s="1" t="n">
        <v>45586</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4580-2020</t>
        </is>
      </c>
      <c r="B2707" s="1" t="n">
        <v>43852</v>
      </c>
      <c r="C2707" s="1" t="n">
        <v>45586</v>
      </c>
      <c r="D2707" t="inlineStr">
        <is>
          <t>VÄSTRA GÖTALANDS LÄN</t>
        </is>
      </c>
      <c r="E2707" t="inlineStr">
        <is>
          <t>FALKÖPING</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4766-2020</t>
        </is>
      </c>
      <c r="B2708" s="1" t="n">
        <v>43852</v>
      </c>
      <c r="C2708" s="1" t="n">
        <v>45586</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4620-2020</t>
        </is>
      </c>
      <c r="B2709" s="1" t="n">
        <v>43852</v>
      </c>
      <c r="C2709" s="1" t="n">
        <v>45586</v>
      </c>
      <c r="D2709" t="inlineStr">
        <is>
          <t>VÄSTRA GÖTALANDS LÄN</t>
        </is>
      </c>
      <c r="E2709" t="inlineStr">
        <is>
          <t>FALKÖPING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4820-2020</t>
        </is>
      </c>
      <c r="B2710" s="1" t="n">
        <v>43852</v>
      </c>
      <c r="C2710" s="1" t="n">
        <v>45586</v>
      </c>
      <c r="D2710" t="inlineStr">
        <is>
          <t>VÄSTRA GÖTALANDS LÄN</t>
        </is>
      </c>
      <c r="E2710" t="inlineStr">
        <is>
          <t>FALKÖPING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4874-2020</t>
        </is>
      </c>
      <c r="B2711" s="1" t="n">
        <v>43852</v>
      </c>
      <c r="C2711" s="1" t="n">
        <v>45586</v>
      </c>
      <c r="D2711" t="inlineStr">
        <is>
          <t>VÄSTRA GÖTALANDS LÄN</t>
        </is>
      </c>
      <c r="E2711" t="inlineStr">
        <is>
          <t>VARA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4838-2020</t>
        </is>
      </c>
      <c r="B2712" s="1" t="n">
        <v>43852</v>
      </c>
      <c r="C2712" s="1" t="n">
        <v>45586</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4913-2020</t>
        </is>
      </c>
      <c r="B2713" s="1" t="n">
        <v>43852</v>
      </c>
      <c r="C2713" s="1" t="n">
        <v>45586</v>
      </c>
      <c r="D2713" t="inlineStr">
        <is>
          <t>VÄSTRA GÖTALANDS LÄN</t>
        </is>
      </c>
      <c r="E2713" t="inlineStr">
        <is>
          <t>HERRLJUNGA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4591-2020</t>
        </is>
      </c>
      <c r="B2714" s="1" t="n">
        <v>43852</v>
      </c>
      <c r="C2714" s="1" t="n">
        <v>45586</v>
      </c>
      <c r="D2714" t="inlineStr">
        <is>
          <t>VÄSTRA GÖTALANDS LÄN</t>
        </is>
      </c>
      <c r="E2714" t="inlineStr">
        <is>
          <t>FALKÖPING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4770-2020</t>
        </is>
      </c>
      <c r="B2715" s="1" t="n">
        <v>43852</v>
      </c>
      <c r="C2715" s="1" t="n">
        <v>45586</v>
      </c>
      <c r="D2715" t="inlineStr">
        <is>
          <t>VÄSTRA GÖTALANDS LÄN</t>
        </is>
      </c>
      <c r="E2715" t="inlineStr">
        <is>
          <t>TIDAHOLM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4844-2020</t>
        </is>
      </c>
      <c r="B2716" s="1" t="n">
        <v>43852</v>
      </c>
      <c r="C2716" s="1" t="n">
        <v>45586</v>
      </c>
      <c r="D2716" t="inlineStr">
        <is>
          <t>VÄSTRA GÖTALANDS LÄN</t>
        </is>
      </c>
      <c r="E2716" t="inlineStr">
        <is>
          <t>VARA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4843-2020</t>
        </is>
      </c>
      <c r="B2717" s="1" t="n">
        <v>43852</v>
      </c>
      <c r="C2717" s="1" t="n">
        <v>45586</v>
      </c>
      <c r="D2717" t="inlineStr">
        <is>
          <t>VÄSTRA GÖTALANDS LÄN</t>
        </is>
      </c>
      <c r="E2717" t="inlineStr">
        <is>
          <t>FALKÖPING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4861-2020</t>
        </is>
      </c>
      <c r="B2718" s="1" t="n">
        <v>43852</v>
      </c>
      <c r="C2718" s="1" t="n">
        <v>45586</v>
      </c>
      <c r="D2718" t="inlineStr">
        <is>
          <t>VÄSTRA GÖTALANDS LÄN</t>
        </is>
      </c>
      <c r="E2718" t="inlineStr">
        <is>
          <t>TIDAHOLM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4924-2020</t>
        </is>
      </c>
      <c r="B2719" s="1" t="n">
        <v>43852</v>
      </c>
      <c r="C2719" s="1" t="n">
        <v>45586</v>
      </c>
      <c r="D2719" t="inlineStr">
        <is>
          <t>VÄSTRA GÖTALANDS LÄN</t>
        </is>
      </c>
      <c r="E2719" t="inlineStr">
        <is>
          <t>FALKÖPING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3584-2020</t>
        </is>
      </c>
      <c r="B2720" s="1" t="n">
        <v>43853</v>
      </c>
      <c r="C2720" s="1" t="n">
        <v>45586</v>
      </c>
      <c r="D2720" t="inlineStr">
        <is>
          <t>VÄSTRA GÖTALANDS LÄN</t>
        </is>
      </c>
      <c r="E2720" t="inlineStr">
        <is>
          <t>SKARA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3579-2020</t>
        </is>
      </c>
      <c r="B2721" s="1" t="n">
        <v>43853</v>
      </c>
      <c r="C2721" s="1" t="n">
        <v>45586</v>
      </c>
      <c r="D2721" t="inlineStr">
        <is>
          <t>VÄSTRA GÖTALANDS LÄN</t>
        </is>
      </c>
      <c r="E2721" t="inlineStr">
        <is>
          <t>FALKÖPING</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3597-2020</t>
        </is>
      </c>
      <c r="B2722" s="1" t="n">
        <v>43853</v>
      </c>
      <c r="C2722" s="1" t="n">
        <v>45586</v>
      </c>
      <c r="D2722" t="inlineStr">
        <is>
          <t>VÄSTRA GÖTALANDS LÄN</t>
        </is>
      </c>
      <c r="E2722" t="inlineStr">
        <is>
          <t>SVENLJUNGA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3650-2020</t>
        </is>
      </c>
      <c r="B2723" s="1" t="n">
        <v>43853</v>
      </c>
      <c r="C2723" s="1" t="n">
        <v>45586</v>
      </c>
      <c r="D2723" t="inlineStr">
        <is>
          <t>VÄSTRA GÖTALANDS LÄN</t>
        </is>
      </c>
      <c r="E2723" t="inlineStr">
        <is>
          <t>KARLSBORG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4928-2020</t>
        </is>
      </c>
      <c r="B2724" s="1" t="n">
        <v>43853</v>
      </c>
      <c r="C2724" s="1" t="n">
        <v>45586</v>
      </c>
      <c r="D2724" t="inlineStr">
        <is>
          <t>VÄSTRA GÖTALANDS LÄN</t>
        </is>
      </c>
      <c r="E2724" t="inlineStr">
        <is>
          <t>GÖTENE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3582-2020</t>
        </is>
      </c>
      <c r="B2725" s="1" t="n">
        <v>43853</v>
      </c>
      <c r="C2725" s="1" t="n">
        <v>45586</v>
      </c>
      <c r="D2725" t="inlineStr">
        <is>
          <t>VÄSTRA GÖTALANDS LÄN</t>
        </is>
      </c>
      <c r="E2725" t="inlineStr">
        <is>
          <t>SKARA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3599-2020</t>
        </is>
      </c>
      <c r="B2726" s="1" t="n">
        <v>43853</v>
      </c>
      <c r="C2726" s="1" t="n">
        <v>45586</v>
      </c>
      <c r="D2726" t="inlineStr">
        <is>
          <t>VÄSTRA GÖTALANDS LÄN</t>
        </is>
      </c>
      <c r="E2726" t="inlineStr">
        <is>
          <t>SKARA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3634-2020</t>
        </is>
      </c>
      <c r="B2727" s="1" t="n">
        <v>43853</v>
      </c>
      <c r="C2727" s="1" t="n">
        <v>45586</v>
      </c>
      <c r="D2727" t="inlineStr">
        <is>
          <t>VÄSTRA GÖTALANDS LÄN</t>
        </is>
      </c>
      <c r="E2727" t="inlineStr">
        <is>
          <t>TROLLHÄTTAN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3627-2020</t>
        </is>
      </c>
      <c r="B2728" s="1" t="n">
        <v>43853</v>
      </c>
      <c r="C2728" s="1" t="n">
        <v>45586</v>
      </c>
      <c r="D2728" t="inlineStr">
        <is>
          <t>VÄSTRA GÖTALANDS LÄN</t>
        </is>
      </c>
      <c r="E2728" t="inlineStr">
        <is>
          <t>FALKÖPING</t>
        </is>
      </c>
      <c r="F2728" t="inlineStr">
        <is>
          <t>Kommuner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3593-2020</t>
        </is>
      </c>
      <c r="B2729" s="1" t="n">
        <v>43853</v>
      </c>
      <c r="C2729" s="1" t="n">
        <v>45586</v>
      </c>
      <c r="D2729" t="inlineStr">
        <is>
          <t>VÄSTRA GÖTALANDS LÄN</t>
        </is>
      </c>
      <c r="E2729" t="inlineStr">
        <is>
          <t>SKARA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3632-2020</t>
        </is>
      </c>
      <c r="B2730" s="1" t="n">
        <v>43853</v>
      </c>
      <c r="C2730" s="1" t="n">
        <v>45586</v>
      </c>
      <c r="D2730" t="inlineStr">
        <is>
          <t>VÄSTRA GÖTALANDS LÄN</t>
        </is>
      </c>
      <c r="E2730" t="inlineStr">
        <is>
          <t>SKARA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3591-2020</t>
        </is>
      </c>
      <c r="B2731" s="1" t="n">
        <v>43853</v>
      </c>
      <c r="C2731" s="1" t="n">
        <v>45586</v>
      </c>
      <c r="D2731" t="inlineStr">
        <is>
          <t>VÄSTRA GÖTALANDS LÄN</t>
        </is>
      </c>
      <c r="E2731" t="inlineStr">
        <is>
          <t>TÖREBODA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3789-2020</t>
        </is>
      </c>
      <c r="B2732" s="1" t="n">
        <v>43854</v>
      </c>
      <c r="C2732" s="1" t="n">
        <v>45586</v>
      </c>
      <c r="D2732" t="inlineStr">
        <is>
          <t>VÄSTRA GÖTALANDS LÄN</t>
        </is>
      </c>
      <c r="E2732" t="inlineStr">
        <is>
          <t>MÖLNDAL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3894-2020</t>
        </is>
      </c>
      <c r="B2733" s="1" t="n">
        <v>43854</v>
      </c>
      <c r="C2733" s="1" t="n">
        <v>45586</v>
      </c>
      <c r="D2733" t="inlineStr">
        <is>
          <t>VÄSTRA GÖTALANDS LÄN</t>
        </is>
      </c>
      <c r="E2733" t="inlineStr">
        <is>
          <t>BORÅS</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3906-2020</t>
        </is>
      </c>
      <c r="B2734" s="1" t="n">
        <v>43854</v>
      </c>
      <c r="C2734" s="1" t="n">
        <v>45586</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3754-2020</t>
        </is>
      </c>
      <c r="B2735" s="1" t="n">
        <v>43854</v>
      </c>
      <c r="C2735" s="1" t="n">
        <v>45586</v>
      </c>
      <c r="D2735" t="inlineStr">
        <is>
          <t>VÄSTRA GÖTALANDS LÄN</t>
        </is>
      </c>
      <c r="E2735" t="inlineStr">
        <is>
          <t>LIDKÖPING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3846-2020</t>
        </is>
      </c>
      <c r="B2736" s="1" t="n">
        <v>43854</v>
      </c>
      <c r="C2736" s="1" t="n">
        <v>45586</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3877-2020</t>
        </is>
      </c>
      <c r="B2737" s="1" t="n">
        <v>43854</v>
      </c>
      <c r="C2737" s="1" t="n">
        <v>45586</v>
      </c>
      <c r="D2737" t="inlineStr">
        <is>
          <t>VÄSTRA GÖTALANDS LÄN</t>
        </is>
      </c>
      <c r="E2737" t="inlineStr">
        <is>
          <t>BORÅS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3918-2020</t>
        </is>
      </c>
      <c r="B2738" s="1" t="n">
        <v>43854</v>
      </c>
      <c r="C2738" s="1" t="n">
        <v>45586</v>
      </c>
      <c r="D2738" t="inlineStr">
        <is>
          <t>VÄSTRA GÖTALANDS LÄN</t>
        </is>
      </c>
      <c r="E2738" t="inlineStr">
        <is>
          <t>FÄRGELANDA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3867-2020</t>
        </is>
      </c>
      <c r="B2739" s="1" t="n">
        <v>43854</v>
      </c>
      <c r="C2739" s="1" t="n">
        <v>45586</v>
      </c>
      <c r="D2739" t="inlineStr">
        <is>
          <t>VÄSTRA GÖTALANDS LÄN</t>
        </is>
      </c>
      <c r="E2739" t="inlineStr">
        <is>
          <t>FALKÖPING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3780-2020</t>
        </is>
      </c>
      <c r="B2740" s="1" t="n">
        <v>43854</v>
      </c>
      <c r="C2740" s="1" t="n">
        <v>45586</v>
      </c>
      <c r="D2740" t="inlineStr">
        <is>
          <t>VÄSTRA GÖTALANDS LÄN</t>
        </is>
      </c>
      <c r="E2740" t="inlineStr">
        <is>
          <t>GULLSPÅNG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3823-2020</t>
        </is>
      </c>
      <c r="B2741" s="1" t="n">
        <v>43854</v>
      </c>
      <c r="C2741" s="1" t="n">
        <v>45586</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5205-2020</t>
        </is>
      </c>
      <c r="B2742" s="1" t="n">
        <v>43854</v>
      </c>
      <c r="C2742" s="1" t="n">
        <v>45586</v>
      </c>
      <c r="D2742" t="inlineStr">
        <is>
          <t>VÄSTRA GÖTALANDS LÄN</t>
        </is>
      </c>
      <c r="E2742" t="inlineStr">
        <is>
          <t>BENGTSFORS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5304-2020</t>
        </is>
      </c>
      <c r="B2743" s="1" t="n">
        <v>43854</v>
      </c>
      <c r="C2743" s="1" t="n">
        <v>45586</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3944-2020</t>
        </is>
      </c>
      <c r="B2744" s="1" t="n">
        <v>43854</v>
      </c>
      <c r="C2744" s="1" t="n">
        <v>45586</v>
      </c>
      <c r="D2744" t="inlineStr">
        <is>
          <t>VÄSTRA GÖTALANDS LÄN</t>
        </is>
      </c>
      <c r="E2744" t="inlineStr">
        <is>
          <t>BENGTSFORS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4449-2020</t>
        </is>
      </c>
      <c r="B2745" s="1" t="n">
        <v>43854</v>
      </c>
      <c r="C2745" s="1" t="n">
        <v>45586</v>
      </c>
      <c r="D2745" t="inlineStr">
        <is>
          <t>VÄSTRA GÖTALANDS LÄN</t>
        </is>
      </c>
      <c r="E2745" t="inlineStr">
        <is>
          <t>TIBRO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5309-2020</t>
        </is>
      </c>
      <c r="B2746" s="1" t="n">
        <v>43854</v>
      </c>
      <c r="C2746" s="1" t="n">
        <v>45586</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4083-2020</t>
        </is>
      </c>
      <c r="B2747" s="1" t="n">
        <v>43856</v>
      </c>
      <c r="C2747" s="1" t="n">
        <v>45586</v>
      </c>
      <c r="D2747" t="inlineStr">
        <is>
          <t>VÄSTRA GÖTALANDS LÄN</t>
        </is>
      </c>
      <c r="E2747" t="inlineStr">
        <is>
          <t>TÖREBODA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4078-2020</t>
        </is>
      </c>
      <c r="B2748" s="1" t="n">
        <v>43857</v>
      </c>
      <c r="C2748" s="1" t="n">
        <v>45586</v>
      </c>
      <c r="D2748" t="inlineStr">
        <is>
          <t>VÄSTRA GÖTALANDS LÄN</t>
        </is>
      </c>
      <c r="E2748" t="inlineStr">
        <is>
          <t>GULLSPÅNG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4166-2020</t>
        </is>
      </c>
      <c r="B2749" s="1" t="n">
        <v>43857</v>
      </c>
      <c r="C2749" s="1" t="n">
        <v>45586</v>
      </c>
      <c r="D2749" t="inlineStr">
        <is>
          <t>VÄSTRA GÖTALANDS LÄN</t>
        </is>
      </c>
      <c r="E2749" t="inlineStr">
        <is>
          <t>TANUM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4328-2020</t>
        </is>
      </c>
      <c r="B2750" s="1" t="n">
        <v>43857</v>
      </c>
      <c r="C2750" s="1" t="n">
        <v>45586</v>
      </c>
      <c r="D2750" t="inlineStr">
        <is>
          <t>VÄSTRA GÖTALANDS LÄN</t>
        </is>
      </c>
      <c r="E2750" t="inlineStr">
        <is>
          <t>MARK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4358-2020</t>
        </is>
      </c>
      <c r="B2751" s="1" t="n">
        <v>43857</v>
      </c>
      <c r="C2751" s="1" t="n">
        <v>45586</v>
      </c>
      <c r="D2751" t="inlineStr">
        <is>
          <t>VÄSTRA GÖTALANDS LÄN</t>
        </is>
      </c>
      <c r="E2751" t="inlineStr">
        <is>
          <t>MARK</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4368-2020</t>
        </is>
      </c>
      <c r="B2752" s="1" t="n">
        <v>43857</v>
      </c>
      <c r="C2752" s="1" t="n">
        <v>45586</v>
      </c>
      <c r="D2752" t="inlineStr">
        <is>
          <t>VÄSTRA GÖTALANDS LÄN</t>
        </is>
      </c>
      <c r="E2752" t="inlineStr">
        <is>
          <t>TIBRO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4231-2020</t>
        </is>
      </c>
      <c r="B2753" s="1" t="n">
        <v>43857</v>
      </c>
      <c r="C2753" s="1" t="n">
        <v>45586</v>
      </c>
      <c r="D2753" t="inlineStr">
        <is>
          <t>VÄSTRA GÖTALANDS LÄN</t>
        </is>
      </c>
      <c r="E2753" t="inlineStr">
        <is>
          <t>LERUM</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5324-2020</t>
        </is>
      </c>
      <c r="B2754" s="1" t="n">
        <v>43857</v>
      </c>
      <c r="C2754" s="1" t="n">
        <v>45586</v>
      </c>
      <c r="D2754" t="inlineStr">
        <is>
          <t>VÄSTRA GÖTALANDS LÄN</t>
        </is>
      </c>
      <c r="E2754" t="inlineStr">
        <is>
          <t>DALS-ED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4063-2020</t>
        </is>
      </c>
      <c r="B2755" s="1" t="n">
        <v>43857</v>
      </c>
      <c r="C2755" s="1" t="n">
        <v>45586</v>
      </c>
      <c r="D2755" t="inlineStr">
        <is>
          <t>VÄSTRA GÖTALANDS LÄN</t>
        </is>
      </c>
      <c r="E2755" t="inlineStr">
        <is>
          <t>HJO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4373-2020</t>
        </is>
      </c>
      <c r="B2756" s="1" t="n">
        <v>43858</v>
      </c>
      <c r="C2756" s="1" t="n">
        <v>45586</v>
      </c>
      <c r="D2756" t="inlineStr">
        <is>
          <t>VÄSTRA GÖTALANDS LÄN</t>
        </is>
      </c>
      <c r="E2756" t="inlineStr">
        <is>
          <t>ORUST</t>
        </is>
      </c>
      <c r="F2756" t="inlineStr">
        <is>
          <t>Kommuner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4445-2020</t>
        </is>
      </c>
      <c r="B2757" s="1" t="n">
        <v>43858</v>
      </c>
      <c r="C2757" s="1" t="n">
        <v>45586</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4484-2020</t>
        </is>
      </c>
      <c r="B2758" s="1" t="n">
        <v>43858</v>
      </c>
      <c r="C2758" s="1" t="n">
        <v>45586</v>
      </c>
      <c r="D2758" t="inlineStr">
        <is>
          <t>VÄSTRA GÖTALANDS LÄN</t>
        </is>
      </c>
      <c r="E2758" t="inlineStr">
        <is>
          <t>FÄRGELANDA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4500-2020</t>
        </is>
      </c>
      <c r="B2759" s="1" t="n">
        <v>43858</v>
      </c>
      <c r="C2759" s="1" t="n">
        <v>45586</v>
      </c>
      <c r="D2759" t="inlineStr">
        <is>
          <t>VÄSTRA GÖTALANDS LÄN</t>
        </is>
      </c>
      <c r="E2759" t="inlineStr">
        <is>
          <t>FÄRGELANDA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4532-2020</t>
        </is>
      </c>
      <c r="B2760" s="1" t="n">
        <v>43858</v>
      </c>
      <c r="C2760" s="1" t="n">
        <v>45586</v>
      </c>
      <c r="D2760" t="inlineStr">
        <is>
          <t>VÄSTRA GÖTALANDS LÄN</t>
        </is>
      </c>
      <c r="E2760" t="inlineStr">
        <is>
          <t>FALKÖPING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4595-2020</t>
        </is>
      </c>
      <c r="B2761" s="1" t="n">
        <v>43858</v>
      </c>
      <c r="C2761" s="1" t="n">
        <v>45586</v>
      </c>
      <c r="D2761" t="inlineStr">
        <is>
          <t>VÄSTRA GÖTALANDS LÄN</t>
        </is>
      </c>
      <c r="E2761" t="inlineStr">
        <is>
          <t>MELLERUD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4432-2020</t>
        </is>
      </c>
      <c r="B2762" s="1" t="n">
        <v>43858</v>
      </c>
      <c r="C2762" s="1" t="n">
        <v>45586</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4468-2020</t>
        </is>
      </c>
      <c r="B2763" s="1" t="n">
        <v>43858</v>
      </c>
      <c r="C2763" s="1" t="n">
        <v>45586</v>
      </c>
      <c r="D2763" t="inlineStr">
        <is>
          <t>VÄSTRA GÖTALANDS LÄN</t>
        </is>
      </c>
      <c r="E2763" t="inlineStr">
        <is>
          <t>BORÅS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4496-2020</t>
        </is>
      </c>
      <c r="B2764" s="1" t="n">
        <v>43858</v>
      </c>
      <c r="C2764" s="1" t="n">
        <v>45586</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4530-2020</t>
        </is>
      </c>
      <c r="B2765" s="1" t="n">
        <v>43858</v>
      </c>
      <c r="C2765" s="1" t="n">
        <v>45586</v>
      </c>
      <c r="D2765" t="inlineStr">
        <is>
          <t>VÄSTRA GÖTALANDS LÄN</t>
        </is>
      </c>
      <c r="E2765" t="inlineStr">
        <is>
          <t>ORUST</t>
        </is>
      </c>
      <c r="F2765" t="inlineStr">
        <is>
          <t>Kommuner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4565-2020</t>
        </is>
      </c>
      <c r="B2766" s="1" t="n">
        <v>43858</v>
      </c>
      <c r="C2766" s="1" t="n">
        <v>45586</v>
      </c>
      <c r="D2766" t="inlineStr">
        <is>
          <t>VÄSTRA GÖTALANDS LÄN</t>
        </is>
      </c>
      <c r="E2766" t="inlineStr">
        <is>
          <t>ORUST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4571-2020</t>
        </is>
      </c>
      <c r="B2767" s="1" t="n">
        <v>43858</v>
      </c>
      <c r="C2767" s="1" t="n">
        <v>45586</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5472-2020</t>
        </is>
      </c>
      <c r="B2768" s="1" t="n">
        <v>43858</v>
      </c>
      <c r="C2768" s="1" t="n">
        <v>45586</v>
      </c>
      <c r="D2768" t="inlineStr">
        <is>
          <t>VÄSTRA GÖTALANDS LÄN</t>
        </is>
      </c>
      <c r="E2768" t="inlineStr">
        <is>
          <t>FÄRGELANDA</t>
        </is>
      </c>
      <c r="F2768" t="inlineStr">
        <is>
          <t>Övriga Aktiebolag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4897-2020</t>
        </is>
      </c>
      <c r="B2769" s="1" t="n">
        <v>43859</v>
      </c>
      <c r="C2769" s="1" t="n">
        <v>45586</v>
      </c>
      <c r="D2769" t="inlineStr">
        <is>
          <t>VÄSTRA GÖTALANDS LÄN</t>
        </is>
      </c>
      <c r="E2769" t="inlineStr">
        <is>
          <t>TIDAHOLM</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4873-2020</t>
        </is>
      </c>
      <c r="B2770" s="1" t="n">
        <v>43859</v>
      </c>
      <c r="C2770" s="1" t="n">
        <v>45586</v>
      </c>
      <c r="D2770" t="inlineStr">
        <is>
          <t>VÄSTRA GÖTALANDS LÄN</t>
        </is>
      </c>
      <c r="E2770" t="inlineStr">
        <is>
          <t>STENUNGSUND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4775-2020</t>
        </is>
      </c>
      <c r="B2771" s="1" t="n">
        <v>43859</v>
      </c>
      <c r="C2771" s="1" t="n">
        <v>45586</v>
      </c>
      <c r="D2771" t="inlineStr">
        <is>
          <t>VÄSTRA GÖTALANDS LÄN</t>
        </is>
      </c>
      <c r="E2771" t="inlineStr">
        <is>
          <t>VARA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4879-2020</t>
        </is>
      </c>
      <c r="B2772" s="1" t="n">
        <v>43859</v>
      </c>
      <c r="C2772" s="1" t="n">
        <v>45586</v>
      </c>
      <c r="D2772" t="inlineStr">
        <is>
          <t>VÄSTRA GÖTALANDS LÄN</t>
        </is>
      </c>
      <c r="E2772" t="inlineStr">
        <is>
          <t>ALE</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4915-2020</t>
        </is>
      </c>
      <c r="B2773" s="1" t="n">
        <v>43859</v>
      </c>
      <c r="C2773" s="1" t="n">
        <v>45586</v>
      </c>
      <c r="D2773" t="inlineStr">
        <is>
          <t>VÄSTRA GÖTALANDS LÄN</t>
        </is>
      </c>
      <c r="E2773" t="inlineStr">
        <is>
          <t>BENGTSFORS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5195-2020</t>
        </is>
      </c>
      <c r="B2774" s="1" t="n">
        <v>43859</v>
      </c>
      <c r="C2774" s="1" t="n">
        <v>45586</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5452-2020</t>
        </is>
      </c>
      <c r="B2775" s="1" t="n">
        <v>43859</v>
      </c>
      <c r="C2775" s="1" t="n">
        <v>45586</v>
      </c>
      <c r="D2775" t="inlineStr">
        <is>
          <t>VÄSTRA GÖTALANDS LÄN</t>
        </is>
      </c>
      <c r="E2775" t="inlineStr">
        <is>
          <t>TJÖRN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5578-2020</t>
        </is>
      </c>
      <c r="B2776" s="1" t="n">
        <v>43859</v>
      </c>
      <c r="C2776" s="1" t="n">
        <v>45586</v>
      </c>
      <c r="D2776" t="inlineStr">
        <is>
          <t>VÄSTRA GÖTALANDS LÄN</t>
        </is>
      </c>
      <c r="E2776" t="inlineStr">
        <is>
          <t>SOTENÄS</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5543-2020</t>
        </is>
      </c>
      <c r="B2777" s="1" t="n">
        <v>43859</v>
      </c>
      <c r="C2777" s="1" t="n">
        <v>45586</v>
      </c>
      <c r="D2777" t="inlineStr">
        <is>
          <t>VÄSTRA GÖTALANDS LÄN</t>
        </is>
      </c>
      <c r="E2777" t="inlineStr">
        <is>
          <t>SOTENÄS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5585-2020</t>
        </is>
      </c>
      <c r="B2778" s="1" t="n">
        <v>43859</v>
      </c>
      <c r="C2778" s="1" t="n">
        <v>45586</v>
      </c>
      <c r="D2778" t="inlineStr">
        <is>
          <t>VÄSTRA GÖTALANDS LÄN</t>
        </is>
      </c>
      <c r="E2778" t="inlineStr">
        <is>
          <t>SOTENÄS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5142-2020</t>
        </is>
      </c>
      <c r="B2779" s="1" t="n">
        <v>43860</v>
      </c>
      <c r="C2779" s="1" t="n">
        <v>45586</v>
      </c>
      <c r="D2779" t="inlineStr">
        <is>
          <t>VÄSTRA GÖTALANDS LÄN</t>
        </is>
      </c>
      <c r="E2779" t="inlineStr">
        <is>
          <t>ULRICEHAMN</t>
        </is>
      </c>
      <c r="F2779" t="inlineStr">
        <is>
          <t>Sveaskog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5274-2020</t>
        </is>
      </c>
      <c r="B2780" s="1" t="n">
        <v>43860</v>
      </c>
      <c r="C2780" s="1" t="n">
        <v>45586</v>
      </c>
      <c r="D2780" t="inlineStr">
        <is>
          <t>VÄSTRA GÖTALANDS LÄN</t>
        </is>
      </c>
      <c r="E2780" t="inlineStr">
        <is>
          <t>MARK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5139-2020</t>
        </is>
      </c>
      <c r="B2781" s="1" t="n">
        <v>43860</v>
      </c>
      <c r="C2781" s="1" t="n">
        <v>45586</v>
      </c>
      <c r="D2781" t="inlineStr">
        <is>
          <t>VÄSTRA GÖTALANDS LÄN</t>
        </is>
      </c>
      <c r="E2781" t="inlineStr">
        <is>
          <t>ULRICEHAMN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5285-2020</t>
        </is>
      </c>
      <c r="B2782" s="1" t="n">
        <v>43860</v>
      </c>
      <c r="C2782" s="1" t="n">
        <v>45586</v>
      </c>
      <c r="D2782" t="inlineStr">
        <is>
          <t>VÄSTRA GÖTALANDS LÄN</t>
        </is>
      </c>
      <c r="E2782" t="inlineStr">
        <is>
          <t>MARK</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5132-2020</t>
        </is>
      </c>
      <c r="B2783" s="1" t="n">
        <v>43860</v>
      </c>
      <c r="C2783" s="1" t="n">
        <v>45586</v>
      </c>
      <c r="D2783" t="inlineStr">
        <is>
          <t>VÄSTRA GÖTALANDS LÄN</t>
        </is>
      </c>
      <c r="E2783" t="inlineStr">
        <is>
          <t>ULRICEHAMN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5272-2020</t>
        </is>
      </c>
      <c r="B2784" s="1" t="n">
        <v>43860</v>
      </c>
      <c r="C2784" s="1" t="n">
        <v>45586</v>
      </c>
      <c r="D2784" t="inlineStr">
        <is>
          <t>VÄSTRA GÖTALANDS LÄN</t>
        </is>
      </c>
      <c r="E2784" t="inlineStr">
        <is>
          <t>MARK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5271-2020</t>
        </is>
      </c>
      <c r="B2785" s="1" t="n">
        <v>43860</v>
      </c>
      <c r="C2785" s="1" t="n">
        <v>45586</v>
      </c>
      <c r="D2785" t="inlineStr">
        <is>
          <t>VÄSTRA GÖTALANDS LÄN</t>
        </is>
      </c>
      <c r="E2785" t="inlineStr">
        <is>
          <t>MARK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5287-2020</t>
        </is>
      </c>
      <c r="B2786" s="1" t="n">
        <v>43860</v>
      </c>
      <c r="C2786" s="1" t="n">
        <v>45586</v>
      </c>
      <c r="D2786" t="inlineStr">
        <is>
          <t>VÄSTRA GÖTALANDS LÄN</t>
        </is>
      </c>
      <c r="E2786" t="inlineStr">
        <is>
          <t>MARK</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5398-2020</t>
        </is>
      </c>
      <c r="B2787" s="1" t="n">
        <v>43860</v>
      </c>
      <c r="C2787" s="1" t="n">
        <v>45586</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5392-2020</t>
        </is>
      </c>
      <c r="B2788" s="1" t="n">
        <v>43860</v>
      </c>
      <c r="C2788" s="1" t="n">
        <v>45586</v>
      </c>
      <c r="D2788" t="inlineStr">
        <is>
          <t>VÄSTRA GÖTALANDS LÄN</t>
        </is>
      </c>
      <c r="E2788" t="inlineStr">
        <is>
          <t>MUNKEDAL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5402-2020</t>
        </is>
      </c>
      <c r="B2789" s="1" t="n">
        <v>43860</v>
      </c>
      <c r="C2789" s="1" t="n">
        <v>45586</v>
      </c>
      <c r="D2789" t="inlineStr">
        <is>
          <t>VÄSTRA GÖTALANDS LÄN</t>
        </is>
      </c>
      <c r="E2789" t="inlineStr">
        <is>
          <t>SKARA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5410-2020</t>
        </is>
      </c>
      <c r="B2790" s="1" t="n">
        <v>43860</v>
      </c>
      <c r="C2790" s="1" t="n">
        <v>45586</v>
      </c>
      <c r="D2790" t="inlineStr">
        <is>
          <t>VÄSTRA GÖTALANDS LÄN</t>
        </is>
      </c>
      <c r="E2790" t="inlineStr">
        <is>
          <t>VARA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5617-2020</t>
        </is>
      </c>
      <c r="B2791" s="1" t="n">
        <v>43860</v>
      </c>
      <c r="C2791" s="1" t="n">
        <v>45586</v>
      </c>
      <c r="D2791" t="inlineStr">
        <is>
          <t>VÄSTRA GÖTALANDS LÄN</t>
        </is>
      </c>
      <c r="E2791" t="inlineStr">
        <is>
          <t>VÄNERSBORG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5633-2020</t>
        </is>
      </c>
      <c r="B2792" s="1" t="n">
        <v>43860</v>
      </c>
      <c r="C2792" s="1" t="n">
        <v>45586</v>
      </c>
      <c r="D2792" t="inlineStr">
        <is>
          <t>VÄSTRA GÖTALANDS LÄN</t>
        </is>
      </c>
      <c r="E2792" t="inlineStr">
        <is>
          <t>ÅMÅL</t>
        </is>
      </c>
      <c r="F2792" t="inlineStr">
        <is>
          <t>Bergvik skog väst AB</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5356-2020</t>
        </is>
      </c>
      <c r="B2793" s="1" t="n">
        <v>43860</v>
      </c>
      <c r="C2793" s="1" t="n">
        <v>45586</v>
      </c>
      <c r="D2793" t="inlineStr">
        <is>
          <t>VÄSTRA GÖTALANDS LÄN</t>
        </is>
      </c>
      <c r="E2793" t="inlineStr">
        <is>
          <t>MARK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5496-2020</t>
        </is>
      </c>
      <c r="B2794" s="1" t="n">
        <v>43861</v>
      </c>
      <c r="C2794" s="1" t="n">
        <v>45586</v>
      </c>
      <c r="D2794" t="inlineStr">
        <is>
          <t>VÄSTRA GÖTALANDS LÄN</t>
        </is>
      </c>
      <c r="E2794" t="inlineStr">
        <is>
          <t>TJÖRN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5624-2020</t>
        </is>
      </c>
      <c r="B2795" s="1" t="n">
        <v>43861</v>
      </c>
      <c r="C2795" s="1" t="n">
        <v>45586</v>
      </c>
      <c r="D2795" t="inlineStr">
        <is>
          <t>VÄSTRA GÖTALANDS LÄN</t>
        </is>
      </c>
      <c r="E2795" t="inlineStr">
        <is>
          <t>TROLLHÄTTAN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5577-2020</t>
        </is>
      </c>
      <c r="B2796" s="1" t="n">
        <v>43861</v>
      </c>
      <c r="C2796" s="1" t="n">
        <v>45586</v>
      </c>
      <c r="D2796" t="inlineStr">
        <is>
          <t>VÄSTRA GÖTALANDS LÄN</t>
        </is>
      </c>
      <c r="E2796" t="inlineStr">
        <is>
          <t>ULRICEHAMN</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5625-2020</t>
        </is>
      </c>
      <c r="B2797" s="1" t="n">
        <v>43861</v>
      </c>
      <c r="C2797" s="1" t="n">
        <v>45586</v>
      </c>
      <c r="D2797" t="inlineStr">
        <is>
          <t>VÄSTRA GÖTALANDS LÄN</t>
        </is>
      </c>
      <c r="E2797" t="inlineStr">
        <is>
          <t>TROLLHÄTTAN</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5669-2020</t>
        </is>
      </c>
      <c r="B2798" s="1" t="n">
        <v>43861</v>
      </c>
      <c r="C2798" s="1" t="n">
        <v>45586</v>
      </c>
      <c r="D2798" t="inlineStr">
        <is>
          <t>VÄSTRA GÖTALANDS LÄN</t>
        </is>
      </c>
      <c r="E2798" t="inlineStr">
        <is>
          <t>ESSUNGA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5674-2020</t>
        </is>
      </c>
      <c r="B2799" s="1" t="n">
        <v>43861</v>
      </c>
      <c r="C2799" s="1" t="n">
        <v>45586</v>
      </c>
      <c r="D2799" t="inlineStr">
        <is>
          <t>VÄSTRA GÖTALANDS LÄN</t>
        </is>
      </c>
      <c r="E2799" t="inlineStr">
        <is>
          <t>BOLLEBYGD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5762-2020</t>
        </is>
      </c>
      <c r="B2800" s="1" t="n">
        <v>43861</v>
      </c>
      <c r="C2800" s="1" t="n">
        <v>45586</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5895-2020</t>
        </is>
      </c>
      <c r="B2801" s="1" t="n">
        <v>43861</v>
      </c>
      <c r="C2801" s="1" t="n">
        <v>45586</v>
      </c>
      <c r="D2801" t="inlineStr">
        <is>
          <t>VÄSTRA GÖTALANDS LÄN</t>
        </is>
      </c>
      <c r="E2801" t="inlineStr">
        <is>
          <t>MUNKEDAL</t>
        </is>
      </c>
      <c r="F2801" t="inlineStr">
        <is>
          <t>Övriga Aktiebolag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5893-2020</t>
        </is>
      </c>
      <c r="B2802" s="1" t="n">
        <v>43861</v>
      </c>
      <c r="C2802" s="1" t="n">
        <v>45586</v>
      </c>
      <c r="D2802" t="inlineStr">
        <is>
          <t>VÄSTRA GÖTALANDS LÄN</t>
        </is>
      </c>
      <c r="E2802" t="inlineStr">
        <is>
          <t>MUNKEDAL</t>
        </is>
      </c>
      <c r="F2802" t="inlineStr">
        <is>
          <t>Övriga Aktiebolag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5593-2020</t>
        </is>
      </c>
      <c r="B2803" s="1" t="n">
        <v>43861</v>
      </c>
      <c r="C2803" s="1" t="n">
        <v>45586</v>
      </c>
      <c r="D2803" t="inlineStr">
        <is>
          <t>VÄSTRA GÖTALANDS LÄN</t>
        </is>
      </c>
      <c r="E2803" t="inlineStr">
        <is>
          <t>ULRICEHAMN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5769-2020</t>
        </is>
      </c>
      <c r="B2804" s="1" t="n">
        <v>43861</v>
      </c>
      <c r="C2804" s="1" t="n">
        <v>45586</v>
      </c>
      <c r="D2804" t="inlineStr">
        <is>
          <t>VÄSTRA GÖTALANDS LÄN</t>
        </is>
      </c>
      <c r="E2804" t="inlineStr">
        <is>
          <t>GULLSPÅNG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5679-2020</t>
        </is>
      </c>
      <c r="B2805" s="1" t="n">
        <v>43861</v>
      </c>
      <c r="C2805" s="1" t="n">
        <v>45586</v>
      </c>
      <c r="D2805" t="inlineStr">
        <is>
          <t>VÄSTRA GÖTALANDS LÄN</t>
        </is>
      </c>
      <c r="E2805" t="inlineStr">
        <is>
          <t>BOLLEBYGD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5659-2020</t>
        </is>
      </c>
      <c r="B2806" s="1" t="n">
        <v>43861</v>
      </c>
      <c r="C2806" s="1" t="n">
        <v>45586</v>
      </c>
      <c r="D2806" t="inlineStr">
        <is>
          <t>VÄSTRA GÖTALANDS LÄN</t>
        </is>
      </c>
      <c r="E2806" t="inlineStr">
        <is>
          <t>BOLLEBYGD</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5843-2020</t>
        </is>
      </c>
      <c r="B2807" s="1" t="n">
        <v>43864</v>
      </c>
      <c r="C2807" s="1" t="n">
        <v>45586</v>
      </c>
      <c r="D2807" t="inlineStr">
        <is>
          <t>VÄSTRA GÖTALANDS LÄN</t>
        </is>
      </c>
      <c r="E2807" t="inlineStr">
        <is>
          <t>BENGTSFORS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5862-2020</t>
        </is>
      </c>
      <c r="B2808" s="1" t="n">
        <v>43864</v>
      </c>
      <c r="C2808" s="1" t="n">
        <v>45586</v>
      </c>
      <c r="D2808" t="inlineStr">
        <is>
          <t>VÄSTRA GÖTALANDS LÄN</t>
        </is>
      </c>
      <c r="E2808" t="inlineStr">
        <is>
          <t>UDDEVALLA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5751-2020</t>
        </is>
      </c>
      <c r="B2809" s="1" t="n">
        <v>43864</v>
      </c>
      <c r="C2809" s="1" t="n">
        <v>45586</v>
      </c>
      <c r="D2809" t="inlineStr">
        <is>
          <t>VÄSTRA GÖTALANDS LÄN</t>
        </is>
      </c>
      <c r="E2809" t="inlineStr">
        <is>
          <t>BOLLEBYGD</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5835-2020</t>
        </is>
      </c>
      <c r="B2810" s="1" t="n">
        <v>43864</v>
      </c>
      <c r="C2810" s="1" t="n">
        <v>45586</v>
      </c>
      <c r="D2810" t="inlineStr">
        <is>
          <t>VÄSTRA GÖTALANDS LÄN</t>
        </is>
      </c>
      <c r="E2810" t="inlineStr">
        <is>
          <t>BENGTSFORS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5847-2020</t>
        </is>
      </c>
      <c r="B2811" s="1" t="n">
        <v>43864</v>
      </c>
      <c r="C2811" s="1" t="n">
        <v>45586</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5877-2020</t>
        </is>
      </c>
      <c r="B2812" s="1" t="n">
        <v>43864</v>
      </c>
      <c r="C2812" s="1" t="n">
        <v>45586</v>
      </c>
      <c r="D2812" t="inlineStr">
        <is>
          <t>VÄSTRA GÖTALANDS LÄN</t>
        </is>
      </c>
      <c r="E2812" t="inlineStr">
        <is>
          <t>SKÖVDE</t>
        </is>
      </c>
      <c r="F2812" t="inlineStr">
        <is>
          <t>Kommuner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5977-2020</t>
        </is>
      </c>
      <c r="B2813" s="1" t="n">
        <v>43864</v>
      </c>
      <c r="C2813" s="1" t="n">
        <v>45586</v>
      </c>
      <c r="D2813" t="inlineStr">
        <is>
          <t>VÄSTRA GÖTALANDS LÄN</t>
        </is>
      </c>
      <c r="E2813" t="inlineStr">
        <is>
          <t>VARA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5937-2020</t>
        </is>
      </c>
      <c r="B2814" s="1" t="n">
        <v>43864</v>
      </c>
      <c r="C2814" s="1" t="n">
        <v>45586</v>
      </c>
      <c r="D2814" t="inlineStr">
        <is>
          <t>VÄSTRA GÖTALANDS LÄN</t>
        </is>
      </c>
      <c r="E2814" t="inlineStr">
        <is>
          <t>LIDKÖPING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5991-2020</t>
        </is>
      </c>
      <c r="B2815" s="1" t="n">
        <v>43864</v>
      </c>
      <c r="C2815" s="1" t="n">
        <v>45586</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6109-2020</t>
        </is>
      </c>
      <c r="B2816" s="1" t="n">
        <v>43864</v>
      </c>
      <c r="C2816" s="1" t="n">
        <v>45586</v>
      </c>
      <c r="D2816" t="inlineStr">
        <is>
          <t>VÄSTRA GÖTALANDS LÄN</t>
        </is>
      </c>
      <c r="E2816" t="inlineStr">
        <is>
          <t>BENGTSFORS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6401-2020</t>
        </is>
      </c>
      <c r="B2817" s="1" t="n">
        <v>43864</v>
      </c>
      <c r="C2817" s="1" t="n">
        <v>45586</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5980-2020</t>
        </is>
      </c>
      <c r="B2818" s="1" t="n">
        <v>43865</v>
      </c>
      <c r="C2818" s="1" t="n">
        <v>45586</v>
      </c>
      <c r="D2818" t="inlineStr">
        <is>
          <t>VÄSTRA GÖTALANDS LÄN</t>
        </is>
      </c>
      <c r="E2818" t="inlineStr">
        <is>
          <t>SKARA</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6047-2020</t>
        </is>
      </c>
      <c r="B2819" s="1" t="n">
        <v>43865</v>
      </c>
      <c r="C2819" s="1" t="n">
        <v>45586</v>
      </c>
      <c r="D2819" t="inlineStr">
        <is>
          <t>VÄSTRA GÖTALANDS LÄN</t>
        </is>
      </c>
      <c r="E2819" t="inlineStr">
        <is>
          <t>HERRLJUNGA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6058-2020</t>
        </is>
      </c>
      <c r="B2820" s="1" t="n">
        <v>43865</v>
      </c>
      <c r="C2820" s="1" t="n">
        <v>45586</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6108-2020</t>
        </is>
      </c>
      <c r="B2821" s="1" t="n">
        <v>43865</v>
      </c>
      <c r="C2821" s="1" t="n">
        <v>45586</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6155-2020</t>
        </is>
      </c>
      <c r="B2822" s="1" t="n">
        <v>43865</v>
      </c>
      <c r="C2822" s="1" t="n">
        <v>45586</v>
      </c>
      <c r="D2822" t="inlineStr">
        <is>
          <t>VÄSTRA GÖTALANDS LÄN</t>
        </is>
      </c>
      <c r="E2822" t="inlineStr">
        <is>
          <t>TANUM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6398-2020</t>
        </is>
      </c>
      <c r="B2823" s="1" t="n">
        <v>43865</v>
      </c>
      <c r="C2823" s="1" t="n">
        <v>45586</v>
      </c>
      <c r="D2823" t="inlineStr">
        <is>
          <t>VÄSTRA GÖTALANDS LÄN</t>
        </is>
      </c>
      <c r="E2823" t="inlineStr">
        <is>
          <t>LILLA EDET</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5978-2020</t>
        </is>
      </c>
      <c r="B2824" s="1" t="n">
        <v>43865</v>
      </c>
      <c r="C2824" s="1" t="n">
        <v>45586</v>
      </c>
      <c r="D2824" t="inlineStr">
        <is>
          <t>VÄSTRA GÖTALANDS LÄN</t>
        </is>
      </c>
      <c r="E2824" t="inlineStr">
        <is>
          <t>MARIESTAD</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5986-2020</t>
        </is>
      </c>
      <c r="B2825" s="1" t="n">
        <v>43865</v>
      </c>
      <c r="C2825" s="1" t="n">
        <v>45586</v>
      </c>
      <c r="D2825" t="inlineStr">
        <is>
          <t>VÄSTRA GÖTALANDS LÄN</t>
        </is>
      </c>
      <c r="E2825" t="inlineStr">
        <is>
          <t>SKARA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6070-2020</t>
        </is>
      </c>
      <c r="B2826" s="1" t="n">
        <v>43865</v>
      </c>
      <c r="C2826" s="1" t="n">
        <v>45586</v>
      </c>
      <c r="D2826" t="inlineStr">
        <is>
          <t>VÄSTRA GÖTALANDS LÄN</t>
        </is>
      </c>
      <c r="E2826" t="inlineStr">
        <is>
          <t>MARIESTAD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6111-2020</t>
        </is>
      </c>
      <c r="B2827" s="1" t="n">
        <v>43865</v>
      </c>
      <c r="C2827" s="1" t="n">
        <v>45586</v>
      </c>
      <c r="D2827" t="inlineStr">
        <is>
          <t>VÄSTRA GÖTALANDS LÄN</t>
        </is>
      </c>
      <c r="E2827" t="inlineStr">
        <is>
          <t>ULRICEHAMN</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6172-2020</t>
        </is>
      </c>
      <c r="B2828" s="1" t="n">
        <v>43865</v>
      </c>
      <c r="C2828" s="1" t="n">
        <v>45586</v>
      </c>
      <c r="D2828" t="inlineStr">
        <is>
          <t>VÄSTRA GÖTALANDS LÄN</t>
        </is>
      </c>
      <c r="E2828" t="inlineStr">
        <is>
          <t>TANUM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6168-2020</t>
        </is>
      </c>
      <c r="B2829" s="1" t="n">
        <v>43865</v>
      </c>
      <c r="C2829" s="1" t="n">
        <v>45586</v>
      </c>
      <c r="D2829" t="inlineStr">
        <is>
          <t>VÄSTRA GÖTALANDS LÄN</t>
        </is>
      </c>
      <c r="E2829" t="inlineStr">
        <is>
          <t>HÄRRYDA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6415-2020</t>
        </is>
      </c>
      <c r="B2830" s="1" t="n">
        <v>43865</v>
      </c>
      <c r="C2830" s="1" t="n">
        <v>45586</v>
      </c>
      <c r="D2830" t="inlineStr">
        <is>
          <t>VÄSTRA GÖTALANDS LÄN</t>
        </is>
      </c>
      <c r="E2830" t="inlineStr">
        <is>
          <t>LILLA EDET</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6686-2020</t>
        </is>
      </c>
      <c r="B2831" s="1" t="n">
        <v>43865</v>
      </c>
      <c r="C2831" s="1" t="n">
        <v>45586</v>
      </c>
      <c r="D2831" t="inlineStr">
        <is>
          <t>VÄSTRA GÖTALANDS LÄN</t>
        </is>
      </c>
      <c r="E2831" t="inlineStr">
        <is>
          <t>VÄNERSBORG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6423-2020</t>
        </is>
      </c>
      <c r="B2832" s="1" t="n">
        <v>43865</v>
      </c>
      <c r="C2832" s="1" t="n">
        <v>45586</v>
      </c>
      <c r="D2832" t="inlineStr">
        <is>
          <t>VÄSTRA GÖTALANDS LÄN</t>
        </is>
      </c>
      <c r="E2832" t="inlineStr">
        <is>
          <t>SKÖVDE</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6596-2020</t>
        </is>
      </c>
      <c r="B2833" s="1" t="n">
        <v>43865</v>
      </c>
      <c r="C2833" s="1" t="n">
        <v>45586</v>
      </c>
      <c r="D2833" t="inlineStr">
        <is>
          <t>VÄSTRA GÖTALANDS LÄN</t>
        </is>
      </c>
      <c r="E2833" t="inlineStr">
        <is>
          <t>KARLSBORG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6322-2020</t>
        </is>
      </c>
      <c r="B2834" s="1" t="n">
        <v>43866</v>
      </c>
      <c r="C2834" s="1" t="n">
        <v>45586</v>
      </c>
      <c r="D2834" t="inlineStr">
        <is>
          <t>VÄSTRA GÖTALANDS LÄN</t>
        </is>
      </c>
      <c r="E2834" t="inlineStr">
        <is>
          <t>DALS-ED</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6382-2020</t>
        </is>
      </c>
      <c r="B2835" s="1" t="n">
        <v>43866</v>
      </c>
      <c r="C2835" s="1" t="n">
        <v>45586</v>
      </c>
      <c r="D2835" t="inlineStr">
        <is>
          <t>VÄSTRA GÖTALANDS LÄN</t>
        </is>
      </c>
      <c r="E2835" t="inlineStr">
        <is>
          <t>MARIESTAD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6407-2020</t>
        </is>
      </c>
      <c r="B2836" s="1" t="n">
        <v>43866</v>
      </c>
      <c r="C2836" s="1" t="n">
        <v>45586</v>
      </c>
      <c r="D2836" t="inlineStr">
        <is>
          <t>VÄSTRA GÖTALANDS LÄN</t>
        </is>
      </c>
      <c r="E2836" t="inlineStr">
        <is>
          <t>LIDKÖPING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6259-2020</t>
        </is>
      </c>
      <c r="B2837" s="1" t="n">
        <v>43866</v>
      </c>
      <c r="C2837" s="1" t="n">
        <v>45586</v>
      </c>
      <c r="D2837" t="inlineStr">
        <is>
          <t>VÄSTRA GÖTALANDS LÄN</t>
        </is>
      </c>
      <c r="E2837" t="inlineStr">
        <is>
          <t>TÖREBODA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6352-2020</t>
        </is>
      </c>
      <c r="B2838" s="1" t="n">
        <v>43866</v>
      </c>
      <c r="C2838" s="1" t="n">
        <v>45586</v>
      </c>
      <c r="D2838" t="inlineStr">
        <is>
          <t>VÄSTRA GÖTALANDS LÄN</t>
        </is>
      </c>
      <c r="E2838" t="inlineStr">
        <is>
          <t>MARIESTAD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6362-2020</t>
        </is>
      </c>
      <c r="B2839" s="1" t="n">
        <v>43866</v>
      </c>
      <c r="C2839" s="1" t="n">
        <v>45586</v>
      </c>
      <c r="D2839" t="inlineStr">
        <is>
          <t>VÄSTRA GÖTALANDS LÄN</t>
        </is>
      </c>
      <c r="E2839" t="inlineStr">
        <is>
          <t>TROLLHÄTTAN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6432-2020</t>
        </is>
      </c>
      <c r="B2840" s="1" t="n">
        <v>43866</v>
      </c>
      <c r="C2840" s="1" t="n">
        <v>45586</v>
      </c>
      <c r="D2840" t="inlineStr">
        <is>
          <t>VÄSTRA GÖTALANDS LÄN</t>
        </is>
      </c>
      <c r="E2840" t="inlineStr">
        <is>
          <t>UDDEVALLA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6447-2020</t>
        </is>
      </c>
      <c r="B2841" s="1" t="n">
        <v>43866</v>
      </c>
      <c r="C2841" s="1" t="n">
        <v>45586</v>
      </c>
      <c r="D2841" t="inlineStr">
        <is>
          <t>VÄSTRA GÖTALANDS LÄN</t>
        </is>
      </c>
      <c r="E2841" t="inlineStr">
        <is>
          <t>FALKÖPING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6475-2020</t>
        </is>
      </c>
      <c r="B2842" s="1" t="n">
        <v>43866</v>
      </c>
      <c r="C2842" s="1" t="n">
        <v>45586</v>
      </c>
      <c r="D2842" t="inlineStr">
        <is>
          <t>VÄSTRA GÖTALANDS LÄN</t>
        </is>
      </c>
      <c r="E2842" t="inlineStr">
        <is>
          <t>LILLA EDET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6760-2020</t>
        </is>
      </c>
      <c r="B2843" s="1" t="n">
        <v>43866</v>
      </c>
      <c r="C2843" s="1" t="n">
        <v>45586</v>
      </c>
      <c r="D2843" t="inlineStr">
        <is>
          <t>VÄSTRA GÖTALANDS LÄN</t>
        </is>
      </c>
      <c r="E2843" t="inlineStr">
        <is>
          <t>SKÖVDE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6695-2020</t>
        </is>
      </c>
      <c r="B2844" s="1" t="n">
        <v>43867</v>
      </c>
      <c r="C2844" s="1" t="n">
        <v>45586</v>
      </c>
      <c r="D2844" t="inlineStr">
        <is>
          <t>VÄSTRA GÖTALANDS LÄN</t>
        </is>
      </c>
      <c r="E2844" t="inlineStr">
        <is>
          <t>GULLSPÅNG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6705-2020</t>
        </is>
      </c>
      <c r="B2845" s="1" t="n">
        <v>43867</v>
      </c>
      <c r="C2845" s="1" t="n">
        <v>45586</v>
      </c>
      <c r="D2845" t="inlineStr">
        <is>
          <t>VÄSTRA GÖTALANDS LÄN</t>
        </is>
      </c>
      <c r="E2845" t="inlineStr">
        <is>
          <t>ÅMÅL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6753-2020</t>
        </is>
      </c>
      <c r="B2846" s="1" t="n">
        <v>43867</v>
      </c>
      <c r="C2846" s="1" t="n">
        <v>45586</v>
      </c>
      <c r="D2846" t="inlineStr">
        <is>
          <t>VÄSTRA GÖTALANDS LÄN</t>
        </is>
      </c>
      <c r="E2846" t="inlineStr">
        <is>
          <t>LIDKÖPING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6594-2020</t>
        </is>
      </c>
      <c r="B2847" s="1" t="n">
        <v>43867</v>
      </c>
      <c r="C2847" s="1" t="n">
        <v>45586</v>
      </c>
      <c r="D2847" t="inlineStr">
        <is>
          <t>VÄSTRA GÖTALANDS LÄN</t>
        </is>
      </c>
      <c r="E2847" t="inlineStr">
        <is>
          <t>SVENLJUNGA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6513-2020</t>
        </is>
      </c>
      <c r="B2848" s="1" t="n">
        <v>43867</v>
      </c>
      <c r="C2848" s="1" t="n">
        <v>45586</v>
      </c>
      <c r="D2848" t="inlineStr">
        <is>
          <t>VÄSTRA GÖTALANDS LÄN</t>
        </is>
      </c>
      <c r="E2848" t="inlineStr">
        <is>
          <t>SKÖVDE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6544-2020</t>
        </is>
      </c>
      <c r="B2849" s="1" t="n">
        <v>43867</v>
      </c>
      <c r="C2849" s="1" t="n">
        <v>45586</v>
      </c>
      <c r="D2849" t="inlineStr">
        <is>
          <t>VÄSTRA GÖTALANDS LÄN</t>
        </is>
      </c>
      <c r="E2849" t="inlineStr">
        <is>
          <t>GÖTENE</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6574-2020</t>
        </is>
      </c>
      <c r="B2850" s="1" t="n">
        <v>43867</v>
      </c>
      <c r="C2850" s="1" t="n">
        <v>45586</v>
      </c>
      <c r="D2850" t="inlineStr">
        <is>
          <t>VÄSTRA GÖTALANDS LÄN</t>
        </is>
      </c>
      <c r="E2850" t="inlineStr">
        <is>
          <t>GÖTENE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6629-2020</t>
        </is>
      </c>
      <c r="B2851" s="1" t="n">
        <v>43867</v>
      </c>
      <c r="C2851" s="1" t="n">
        <v>45586</v>
      </c>
      <c r="D2851" t="inlineStr">
        <is>
          <t>VÄSTRA GÖTALANDS LÄN</t>
        </is>
      </c>
      <c r="E2851" t="inlineStr">
        <is>
          <t>GULLSPÅNG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6782-2020</t>
        </is>
      </c>
      <c r="B2852" s="1" t="n">
        <v>43867</v>
      </c>
      <c r="C2852" s="1" t="n">
        <v>45586</v>
      </c>
      <c r="D2852" t="inlineStr">
        <is>
          <t>VÄSTRA GÖTALANDS LÄN</t>
        </is>
      </c>
      <c r="E2852" t="inlineStr">
        <is>
          <t>ÅMÅL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6893-2020</t>
        </is>
      </c>
      <c r="B2853" s="1" t="n">
        <v>43867</v>
      </c>
      <c r="C2853" s="1" t="n">
        <v>45586</v>
      </c>
      <c r="D2853" t="inlineStr">
        <is>
          <t>VÄSTRA GÖTALANDS LÄN</t>
        </is>
      </c>
      <c r="E2853" t="inlineStr">
        <is>
          <t>VÄNERSBORG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6741-2020</t>
        </is>
      </c>
      <c r="B2854" s="1" t="n">
        <v>43867</v>
      </c>
      <c r="C2854" s="1" t="n">
        <v>45586</v>
      </c>
      <c r="D2854" t="inlineStr">
        <is>
          <t>VÄSTRA GÖTALANDS LÄN</t>
        </is>
      </c>
      <c r="E2854" t="inlineStr">
        <is>
          <t>MARK</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6786-2020</t>
        </is>
      </c>
      <c r="B2855" s="1" t="n">
        <v>43867</v>
      </c>
      <c r="C2855" s="1" t="n">
        <v>45586</v>
      </c>
      <c r="D2855" t="inlineStr">
        <is>
          <t>VÄSTRA GÖTALANDS LÄN</t>
        </is>
      </c>
      <c r="E2855" t="inlineStr">
        <is>
          <t>ULRICEHAMN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6577-2020</t>
        </is>
      </c>
      <c r="B2856" s="1" t="n">
        <v>43867</v>
      </c>
      <c r="C2856" s="1" t="n">
        <v>45586</v>
      </c>
      <c r="D2856" t="inlineStr">
        <is>
          <t>VÄSTRA GÖTALANDS LÄN</t>
        </is>
      </c>
      <c r="E2856" t="inlineStr">
        <is>
          <t>GÖTENE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6879-2020</t>
        </is>
      </c>
      <c r="B2857" s="1" t="n">
        <v>43868</v>
      </c>
      <c r="C2857" s="1" t="n">
        <v>45586</v>
      </c>
      <c r="D2857" t="inlineStr">
        <is>
          <t>VÄSTRA GÖTALANDS LÄN</t>
        </is>
      </c>
      <c r="E2857" t="inlineStr">
        <is>
          <t>ULRICEHAMN</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6849-2020</t>
        </is>
      </c>
      <c r="B2858" s="1" t="n">
        <v>43868</v>
      </c>
      <c r="C2858" s="1" t="n">
        <v>45586</v>
      </c>
      <c r="D2858" t="inlineStr">
        <is>
          <t>VÄSTRA GÖTALANDS LÄN</t>
        </is>
      </c>
      <c r="E2858" t="inlineStr">
        <is>
          <t>TROLLHÄTTAN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6885-2020</t>
        </is>
      </c>
      <c r="B2859" s="1" t="n">
        <v>43868</v>
      </c>
      <c r="C2859" s="1" t="n">
        <v>45586</v>
      </c>
      <c r="D2859" t="inlineStr">
        <is>
          <t>VÄSTRA GÖTALANDS LÄN</t>
        </is>
      </c>
      <c r="E2859" t="inlineStr">
        <is>
          <t>ULRICEHAMN</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6919-2020</t>
        </is>
      </c>
      <c r="B2860" s="1" t="n">
        <v>43868</v>
      </c>
      <c r="C2860" s="1" t="n">
        <v>45586</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7083-2020</t>
        </is>
      </c>
      <c r="B2861" s="1" t="n">
        <v>43868</v>
      </c>
      <c r="C2861" s="1" t="n">
        <v>45586</v>
      </c>
      <c r="D2861" t="inlineStr">
        <is>
          <t>VÄSTRA GÖTALANDS LÄN</t>
        </is>
      </c>
      <c r="E2861" t="inlineStr">
        <is>
          <t>BENGTSFORS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6820-2020</t>
        </is>
      </c>
      <c r="B2862" s="1" t="n">
        <v>43868</v>
      </c>
      <c r="C2862" s="1" t="n">
        <v>45586</v>
      </c>
      <c r="D2862" t="inlineStr">
        <is>
          <t>VÄSTRA GÖTALANDS LÄN</t>
        </is>
      </c>
      <c r="E2862" t="inlineStr">
        <is>
          <t>ÅMÅL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6896-2020</t>
        </is>
      </c>
      <c r="B2863" s="1" t="n">
        <v>43868</v>
      </c>
      <c r="C2863" s="1" t="n">
        <v>45586</v>
      </c>
      <c r="D2863" t="inlineStr">
        <is>
          <t>VÄSTRA GÖTALANDS LÄN</t>
        </is>
      </c>
      <c r="E2863" t="inlineStr">
        <is>
          <t>SVENLJUNGA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6921-2020</t>
        </is>
      </c>
      <c r="B2864" s="1" t="n">
        <v>43868</v>
      </c>
      <c r="C2864" s="1" t="n">
        <v>45586</v>
      </c>
      <c r="D2864" t="inlineStr">
        <is>
          <t>VÄSTRA GÖTALANDS LÄN</t>
        </is>
      </c>
      <c r="E2864" t="inlineStr">
        <is>
          <t>FALKÖPING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7043-2020</t>
        </is>
      </c>
      <c r="B2865" s="1" t="n">
        <v>43868</v>
      </c>
      <c r="C2865" s="1" t="n">
        <v>45586</v>
      </c>
      <c r="D2865" t="inlineStr">
        <is>
          <t>VÄSTRA GÖTALANDS LÄN</t>
        </is>
      </c>
      <c r="E2865" t="inlineStr">
        <is>
          <t>MARIESTAD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7073-2020</t>
        </is>
      </c>
      <c r="B2866" s="1" t="n">
        <v>43868</v>
      </c>
      <c r="C2866" s="1" t="n">
        <v>45586</v>
      </c>
      <c r="D2866" t="inlineStr">
        <is>
          <t>VÄSTRA GÖTALANDS LÄN</t>
        </is>
      </c>
      <c r="E2866" t="inlineStr">
        <is>
          <t>TANUM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7119-2020</t>
        </is>
      </c>
      <c r="B2867" s="1" t="n">
        <v>43868</v>
      </c>
      <c r="C2867" s="1" t="n">
        <v>45586</v>
      </c>
      <c r="D2867" t="inlineStr">
        <is>
          <t>VÄSTRA GÖTALANDS LÄN</t>
        </is>
      </c>
      <c r="E2867" t="inlineStr">
        <is>
          <t>TIDAHOLM</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6817-2020</t>
        </is>
      </c>
      <c r="B2868" s="1" t="n">
        <v>43868</v>
      </c>
      <c r="C2868" s="1" t="n">
        <v>45586</v>
      </c>
      <c r="D2868" t="inlineStr">
        <is>
          <t>VÄSTRA GÖTALANDS LÄN</t>
        </is>
      </c>
      <c r="E2868" t="inlineStr">
        <is>
          <t>SVENLJUNGA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6882-2020</t>
        </is>
      </c>
      <c r="B2869" s="1" t="n">
        <v>43868</v>
      </c>
      <c r="C2869" s="1" t="n">
        <v>45586</v>
      </c>
      <c r="D2869" t="inlineStr">
        <is>
          <t>VÄSTRA GÖTALANDS LÄN</t>
        </is>
      </c>
      <c r="E2869" t="inlineStr">
        <is>
          <t>ULRICEHAMN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6952-2020</t>
        </is>
      </c>
      <c r="B2870" s="1" t="n">
        <v>43868</v>
      </c>
      <c r="C2870" s="1" t="n">
        <v>45586</v>
      </c>
      <c r="D2870" t="inlineStr">
        <is>
          <t>VÄSTRA GÖTALANDS LÄN</t>
        </is>
      </c>
      <c r="E2870" t="inlineStr">
        <is>
          <t>SVENLJUNGA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7017-2020</t>
        </is>
      </c>
      <c r="B2871" s="1" t="n">
        <v>43868</v>
      </c>
      <c r="C2871" s="1" t="n">
        <v>45586</v>
      </c>
      <c r="D2871" t="inlineStr">
        <is>
          <t>VÄSTRA GÖTALANDS LÄN</t>
        </is>
      </c>
      <c r="E2871" t="inlineStr">
        <is>
          <t>TÖREBODA</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7089-2020</t>
        </is>
      </c>
      <c r="B2872" s="1" t="n">
        <v>43868</v>
      </c>
      <c r="C2872" s="1" t="n">
        <v>45586</v>
      </c>
      <c r="D2872" t="inlineStr">
        <is>
          <t>VÄSTRA GÖTALANDS LÄN</t>
        </is>
      </c>
      <c r="E2872" t="inlineStr">
        <is>
          <t>BENGTSFORS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7100-2020</t>
        </is>
      </c>
      <c r="B2873" s="1" t="n">
        <v>43868</v>
      </c>
      <c r="C2873" s="1" t="n">
        <v>45586</v>
      </c>
      <c r="D2873" t="inlineStr">
        <is>
          <t>VÄSTRA GÖTALANDS LÄN</t>
        </is>
      </c>
      <c r="E2873" t="inlineStr">
        <is>
          <t>FALKÖPING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7138-2020</t>
        </is>
      </c>
      <c r="B2874" s="1" t="n">
        <v>43869</v>
      </c>
      <c r="C2874" s="1" t="n">
        <v>45586</v>
      </c>
      <c r="D2874" t="inlineStr">
        <is>
          <t>VÄSTRA GÖTALANDS LÄN</t>
        </is>
      </c>
      <c r="E2874" t="inlineStr">
        <is>
          <t>MUNKEDAL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7161-2020</t>
        </is>
      </c>
      <c r="B2875" s="1" t="n">
        <v>43870</v>
      </c>
      <c r="C2875" s="1" t="n">
        <v>45586</v>
      </c>
      <c r="D2875" t="inlineStr">
        <is>
          <t>VÄSTRA GÖTALANDS LÄN</t>
        </is>
      </c>
      <c r="E2875" t="inlineStr">
        <is>
          <t>STENUNGSUND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7165-2020</t>
        </is>
      </c>
      <c r="B2876" s="1" t="n">
        <v>43870</v>
      </c>
      <c r="C2876" s="1" t="n">
        <v>45586</v>
      </c>
      <c r="D2876" t="inlineStr">
        <is>
          <t>VÄSTRA GÖTALANDS LÄN</t>
        </is>
      </c>
      <c r="E2876" t="inlineStr">
        <is>
          <t>TÖREBODA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7325-2020</t>
        </is>
      </c>
      <c r="B2877" s="1" t="n">
        <v>43871</v>
      </c>
      <c r="C2877" s="1" t="n">
        <v>45586</v>
      </c>
      <c r="D2877" t="inlineStr">
        <is>
          <t>VÄSTRA GÖTALANDS LÄN</t>
        </is>
      </c>
      <c r="E2877" t="inlineStr">
        <is>
          <t>STENUNGSUND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7194-2020</t>
        </is>
      </c>
      <c r="B2878" s="1" t="n">
        <v>43871</v>
      </c>
      <c r="C2878" s="1" t="n">
        <v>45586</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7171-2020</t>
        </is>
      </c>
      <c r="B2879" s="1" t="n">
        <v>43871</v>
      </c>
      <c r="C2879" s="1" t="n">
        <v>45586</v>
      </c>
      <c r="D2879" t="inlineStr">
        <is>
          <t>VÄSTRA GÖTALANDS LÄN</t>
        </is>
      </c>
      <c r="E2879" t="inlineStr">
        <is>
          <t>VARA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7235-2020</t>
        </is>
      </c>
      <c r="B2880" s="1" t="n">
        <v>43871</v>
      </c>
      <c r="C2880" s="1" t="n">
        <v>45586</v>
      </c>
      <c r="D2880" t="inlineStr">
        <is>
          <t>VÄSTRA GÖTALANDS LÄN</t>
        </is>
      </c>
      <c r="E2880" t="inlineStr">
        <is>
          <t>TRANEMO</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7224-2020</t>
        </is>
      </c>
      <c r="B2881" s="1" t="n">
        <v>43871</v>
      </c>
      <c r="C2881" s="1" t="n">
        <v>45586</v>
      </c>
      <c r="D2881" t="inlineStr">
        <is>
          <t>VÄSTRA GÖTALANDS LÄN</t>
        </is>
      </c>
      <c r="E2881" t="inlineStr">
        <is>
          <t>TRANEMO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7288-2020</t>
        </is>
      </c>
      <c r="B2882" s="1" t="n">
        <v>43871</v>
      </c>
      <c r="C2882" s="1" t="n">
        <v>45586</v>
      </c>
      <c r="D2882" t="inlineStr">
        <is>
          <t>VÄSTRA GÖTALANDS LÄN</t>
        </is>
      </c>
      <c r="E2882" t="inlineStr">
        <is>
          <t>BORÅS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7296-2020</t>
        </is>
      </c>
      <c r="B2883" s="1" t="n">
        <v>43871</v>
      </c>
      <c r="C2883" s="1" t="n">
        <v>45586</v>
      </c>
      <c r="D2883" t="inlineStr">
        <is>
          <t>VÄSTRA GÖTALANDS LÄN</t>
        </is>
      </c>
      <c r="E2883" t="inlineStr">
        <is>
          <t>BORÅS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7328-2020</t>
        </is>
      </c>
      <c r="B2884" s="1" t="n">
        <v>43871</v>
      </c>
      <c r="C2884" s="1" t="n">
        <v>45586</v>
      </c>
      <c r="D2884" t="inlineStr">
        <is>
          <t>VÄSTRA GÖTALANDS LÄN</t>
        </is>
      </c>
      <c r="E2884" t="inlineStr">
        <is>
          <t>TIDAHOLM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7437-2020</t>
        </is>
      </c>
      <c r="B2885" s="1" t="n">
        <v>43871</v>
      </c>
      <c r="C2885" s="1" t="n">
        <v>45586</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7465-2020</t>
        </is>
      </c>
      <c r="B2886" s="1" t="n">
        <v>43871</v>
      </c>
      <c r="C2886" s="1" t="n">
        <v>45586</v>
      </c>
      <c r="D2886" t="inlineStr">
        <is>
          <t>VÄSTRA GÖTALANDS LÄN</t>
        </is>
      </c>
      <c r="E2886" t="inlineStr">
        <is>
          <t>HERRLJUNGA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7594-2020</t>
        </is>
      </c>
      <c r="B2887" s="1" t="n">
        <v>43871</v>
      </c>
      <c r="C2887" s="1" t="n">
        <v>45586</v>
      </c>
      <c r="D2887" t="inlineStr">
        <is>
          <t>VÄSTRA GÖTALANDS LÄN</t>
        </is>
      </c>
      <c r="E2887" t="inlineStr">
        <is>
          <t>DALS-ED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7216-2020</t>
        </is>
      </c>
      <c r="B2888" s="1" t="n">
        <v>43871</v>
      </c>
      <c r="C2888" s="1" t="n">
        <v>45586</v>
      </c>
      <c r="D2888" t="inlineStr">
        <is>
          <t>VÄSTRA GÖTALANDS LÄN</t>
        </is>
      </c>
      <c r="E2888" t="inlineStr">
        <is>
          <t>TRANEMO</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7588-2020</t>
        </is>
      </c>
      <c r="B2889" s="1" t="n">
        <v>43871</v>
      </c>
      <c r="C2889" s="1" t="n">
        <v>45586</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7381-2020</t>
        </is>
      </c>
      <c r="B2890" s="1" t="n">
        <v>43871</v>
      </c>
      <c r="C2890" s="1" t="n">
        <v>45586</v>
      </c>
      <c r="D2890" t="inlineStr">
        <is>
          <t>VÄSTRA GÖTALANDS LÄN</t>
        </is>
      </c>
      <c r="E2890" t="inlineStr">
        <is>
          <t>MARIESTAD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7522-2020</t>
        </is>
      </c>
      <c r="B2891" s="1" t="n">
        <v>43872</v>
      </c>
      <c r="C2891" s="1" t="n">
        <v>45586</v>
      </c>
      <c r="D2891" t="inlineStr">
        <is>
          <t>VÄSTRA GÖTALANDS LÄN</t>
        </is>
      </c>
      <c r="E2891" t="inlineStr">
        <is>
          <t>DALS-ED</t>
        </is>
      </c>
      <c r="F2891" t="inlineStr">
        <is>
          <t>Kommuner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7542-2020</t>
        </is>
      </c>
      <c r="B2892" s="1" t="n">
        <v>43872</v>
      </c>
      <c r="C2892" s="1" t="n">
        <v>45586</v>
      </c>
      <c r="D2892" t="inlineStr">
        <is>
          <t>VÄSTRA GÖTALANDS LÄN</t>
        </is>
      </c>
      <c r="E2892" t="inlineStr">
        <is>
          <t>BORÅS</t>
        </is>
      </c>
      <c r="G2892" t="n">
        <v>23.9</v>
      </c>
      <c r="H2892" t="n">
        <v>0</v>
      </c>
      <c r="I2892" t="n">
        <v>0</v>
      </c>
      <c r="J2892" t="n">
        <v>0</v>
      </c>
      <c r="K2892" t="n">
        <v>0</v>
      </c>
      <c r="L2892" t="n">
        <v>0</v>
      </c>
      <c r="M2892" t="n">
        <v>0</v>
      </c>
      <c r="N2892" t="n">
        <v>0</v>
      </c>
      <c r="O2892" t="n">
        <v>0</v>
      </c>
      <c r="P2892" t="n">
        <v>0</v>
      </c>
      <c r="Q2892" t="n">
        <v>0</v>
      </c>
      <c r="R2892" s="2" t="inlineStr"/>
    </row>
    <row r="2893" ht="15" customHeight="1">
      <c r="A2893" t="inlineStr">
        <is>
          <t>A 7528-2020</t>
        </is>
      </c>
      <c r="B2893" s="1" t="n">
        <v>43872</v>
      </c>
      <c r="C2893" s="1" t="n">
        <v>45586</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7611-2020</t>
        </is>
      </c>
      <c r="B2894" s="1" t="n">
        <v>43872</v>
      </c>
      <c r="C2894" s="1" t="n">
        <v>45586</v>
      </c>
      <c r="D2894" t="inlineStr">
        <is>
          <t>VÄSTRA GÖTALANDS LÄN</t>
        </is>
      </c>
      <c r="E2894" t="inlineStr">
        <is>
          <t>SKARA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7534-2020</t>
        </is>
      </c>
      <c r="B2895" s="1" t="n">
        <v>43872</v>
      </c>
      <c r="C2895" s="1" t="n">
        <v>45586</v>
      </c>
      <c r="D2895" t="inlineStr">
        <is>
          <t>VÄSTRA GÖTALANDS LÄN</t>
        </is>
      </c>
      <c r="E2895" t="inlineStr">
        <is>
          <t>DALS-ED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7608-2020</t>
        </is>
      </c>
      <c r="B2896" s="1" t="n">
        <v>43872</v>
      </c>
      <c r="C2896" s="1" t="n">
        <v>45586</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7617-2020</t>
        </is>
      </c>
      <c r="B2897" s="1" t="n">
        <v>43872</v>
      </c>
      <c r="C2897" s="1" t="n">
        <v>45586</v>
      </c>
      <c r="D2897" t="inlineStr">
        <is>
          <t>VÄSTRA GÖTALANDS LÄN</t>
        </is>
      </c>
      <c r="E2897" t="inlineStr">
        <is>
          <t>SKARA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7624-2020</t>
        </is>
      </c>
      <c r="B2898" s="1" t="n">
        <v>43872</v>
      </c>
      <c r="C2898" s="1" t="n">
        <v>45586</v>
      </c>
      <c r="D2898" t="inlineStr">
        <is>
          <t>VÄSTRA GÖTALANDS LÄN</t>
        </is>
      </c>
      <c r="E2898" t="inlineStr">
        <is>
          <t>SKARA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7679-2020</t>
        </is>
      </c>
      <c r="B2899" s="1" t="n">
        <v>43872</v>
      </c>
      <c r="C2899" s="1" t="n">
        <v>45586</v>
      </c>
      <c r="D2899" t="inlineStr">
        <is>
          <t>VÄSTRA GÖTALANDS LÄN</t>
        </is>
      </c>
      <c r="E2899" t="inlineStr">
        <is>
          <t>LIDKÖPING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7771-2020</t>
        </is>
      </c>
      <c r="B2900" s="1" t="n">
        <v>43872</v>
      </c>
      <c r="C2900" s="1" t="n">
        <v>45586</v>
      </c>
      <c r="D2900" t="inlineStr">
        <is>
          <t>VÄSTRA GÖTALANDS LÄN</t>
        </is>
      </c>
      <c r="E2900" t="inlineStr">
        <is>
          <t>DALS-ED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7646-2020</t>
        </is>
      </c>
      <c r="B2901" s="1" t="n">
        <v>43872</v>
      </c>
      <c r="C2901" s="1" t="n">
        <v>45586</v>
      </c>
      <c r="D2901" t="inlineStr">
        <is>
          <t>VÄSTRA GÖTALANDS LÄN</t>
        </is>
      </c>
      <c r="E2901" t="inlineStr">
        <is>
          <t>LIDKÖPING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7706-2020</t>
        </is>
      </c>
      <c r="B2902" s="1" t="n">
        <v>43872</v>
      </c>
      <c r="C2902" s="1" t="n">
        <v>45586</v>
      </c>
      <c r="D2902" t="inlineStr">
        <is>
          <t>VÄSTRA GÖTALANDS LÄN</t>
        </is>
      </c>
      <c r="E2902" t="inlineStr">
        <is>
          <t>ALE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7705-2020</t>
        </is>
      </c>
      <c r="B2903" s="1" t="n">
        <v>43872</v>
      </c>
      <c r="C2903" s="1" t="n">
        <v>45586</v>
      </c>
      <c r="D2903" t="inlineStr">
        <is>
          <t>VÄSTRA GÖTALANDS LÄN</t>
        </is>
      </c>
      <c r="E2903" t="inlineStr">
        <is>
          <t>VÅRGÅRDA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7625-2020</t>
        </is>
      </c>
      <c r="B2904" s="1" t="n">
        <v>43872</v>
      </c>
      <c r="C2904" s="1" t="n">
        <v>45586</v>
      </c>
      <c r="D2904" t="inlineStr">
        <is>
          <t>VÄSTRA GÖTALANDS LÄN</t>
        </is>
      </c>
      <c r="E2904" t="inlineStr">
        <is>
          <t>SKARA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7639-2020</t>
        </is>
      </c>
      <c r="B2905" s="1" t="n">
        <v>43872</v>
      </c>
      <c r="C2905" s="1" t="n">
        <v>45586</v>
      </c>
      <c r="D2905" t="inlineStr">
        <is>
          <t>VÄSTRA GÖTALANDS LÄN</t>
        </is>
      </c>
      <c r="E2905" t="inlineStr">
        <is>
          <t>LIDKÖPING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7665-2020</t>
        </is>
      </c>
      <c r="B2906" s="1" t="n">
        <v>43872</v>
      </c>
      <c r="C2906" s="1" t="n">
        <v>45586</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7684-2020</t>
        </is>
      </c>
      <c r="B2907" s="1" t="n">
        <v>43872</v>
      </c>
      <c r="C2907" s="1" t="n">
        <v>45586</v>
      </c>
      <c r="D2907" t="inlineStr">
        <is>
          <t>VÄSTRA GÖTALANDS LÄN</t>
        </is>
      </c>
      <c r="E2907" t="inlineStr">
        <is>
          <t>BENGTSFORS</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7757-2020</t>
        </is>
      </c>
      <c r="B2908" s="1" t="n">
        <v>43872</v>
      </c>
      <c r="C2908" s="1" t="n">
        <v>45586</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7776-2020</t>
        </is>
      </c>
      <c r="B2909" s="1" t="n">
        <v>43872</v>
      </c>
      <c r="C2909" s="1" t="n">
        <v>45586</v>
      </c>
      <c r="D2909" t="inlineStr">
        <is>
          <t>VÄSTRA GÖTALANDS LÄN</t>
        </is>
      </c>
      <c r="E2909" t="inlineStr">
        <is>
          <t>ULRICEHAMN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7532-2020</t>
        </is>
      </c>
      <c r="B2910" s="1" t="n">
        <v>43872</v>
      </c>
      <c r="C2910" s="1" t="n">
        <v>45586</v>
      </c>
      <c r="D2910" t="inlineStr">
        <is>
          <t>VÄSTRA GÖTALANDS LÄN</t>
        </is>
      </c>
      <c r="E2910" t="inlineStr">
        <is>
          <t>SKARA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7853-2020</t>
        </is>
      </c>
      <c r="B2911" s="1" t="n">
        <v>43873</v>
      </c>
      <c r="C2911" s="1" t="n">
        <v>45586</v>
      </c>
      <c r="D2911" t="inlineStr">
        <is>
          <t>VÄSTRA GÖTALANDS LÄN</t>
        </is>
      </c>
      <c r="E2911" t="inlineStr">
        <is>
          <t>BENGTSFORS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7855-2020</t>
        </is>
      </c>
      <c r="B2912" s="1" t="n">
        <v>43873</v>
      </c>
      <c r="C2912" s="1" t="n">
        <v>45586</v>
      </c>
      <c r="D2912" t="inlineStr">
        <is>
          <t>VÄSTRA GÖTALANDS LÄN</t>
        </is>
      </c>
      <c r="E2912" t="inlineStr">
        <is>
          <t>SVENLJUNGA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7879-2020</t>
        </is>
      </c>
      <c r="B2913" s="1" t="n">
        <v>43873</v>
      </c>
      <c r="C2913" s="1" t="n">
        <v>45586</v>
      </c>
      <c r="D2913" t="inlineStr">
        <is>
          <t>VÄSTRA GÖTALANDS LÄN</t>
        </is>
      </c>
      <c r="E2913" t="inlineStr">
        <is>
          <t>BOLLEBYGD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7905-2020</t>
        </is>
      </c>
      <c r="B2914" s="1" t="n">
        <v>43873</v>
      </c>
      <c r="C2914" s="1" t="n">
        <v>45586</v>
      </c>
      <c r="D2914" t="inlineStr">
        <is>
          <t>VÄSTRA GÖTALANDS LÄN</t>
        </is>
      </c>
      <c r="E2914" t="inlineStr">
        <is>
          <t>FALKÖPING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7928-2020</t>
        </is>
      </c>
      <c r="B2915" s="1" t="n">
        <v>43873</v>
      </c>
      <c r="C2915" s="1" t="n">
        <v>45586</v>
      </c>
      <c r="D2915" t="inlineStr">
        <is>
          <t>VÄSTRA GÖTALANDS LÄN</t>
        </is>
      </c>
      <c r="E2915" t="inlineStr">
        <is>
          <t>TÖREBODA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7804-2020</t>
        </is>
      </c>
      <c r="B2916" s="1" t="n">
        <v>43873</v>
      </c>
      <c r="C2916" s="1" t="n">
        <v>45586</v>
      </c>
      <c r="D2916" t="inlineStr">
        <is>
          <t>VÄSTRA GÖTALANDS LÄN</t>
        </is>
      </c>
      <c r="E2916" t="inlineStr">
        <is>
          <t>ALE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7912-2020</t>
        </is>
      </c>
      <c r="B2917" s="1" t="n">
        <v>43873</v>
      </c>
      <c r="C2917" s="1" t="n">
        <v>45586</v>
      </c>
      <c r="D2917" t="inlineStr">
        <is>
          <t>VÄSTRA GÖTALANDS LÄN</t>
        </is>
      </c>
      <c r="E2917" t="inlineStr">
        <is>
          <t>FALKÖPING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8006-2020</t>
        </is>
      </c>
      <c r="B2918" s="1" t="n">
        <v>43873</v>
      </c>
      <c r="C2918" s="1" t="n">
        <v>45586</v>
      </c>
      <c r="D2918" t="inlineStr">
        <is>
          <t>VÄSTRA GÖTALANDS LÄN</t>
        </is>
      </c>
      <c r="E2918" t="inlineStr">
        <is>
          <t>VÄNERSBORG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8021-2020</t>
        </is>
      </c>
      <c r="B2919" s="1" t="n">
        <v>43873</v>
      </c>
      <c r="C2919" s="1" t="n">
        <v>45586</v>
      </c>
      <c r="D2919" t="inlineStr">
        <is>
          <t>VÄSTRA GÖTALANDS LÄN</t>
        </is>
      </c>
      <c r="E2919" t="inlineStr">
        <is>
          <t>KARLSBORG</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8035-2020</t>
        </is>
      </c>
      <c r="B2920" s="1" t="n">
        <v>43873</v>
      </c>
      <c r="C2920" s="1" t="n">
        <v>45586</v>
      </c>
      <c r="D2920" t="inlineStr">
        <is>
          <t>VÄSTRA GÖTALANDS LÄN</t>
        </is>
      </c>
      <c r="E2920" t="inlineStr">
        <is>
          <t>VÅRGÅRDA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8003-2020</t>
        </is>
      </c>
      <c r="B2921" s="1" t="n">
        <v>43873</v>
      </c>
      <c r="C2921" s="1" t="n">
        <v>45586</v>
      </c>
      <c r="D2921" t="inlineStr">
        <is>
          <t>VÄSTRA GÖTALANDS LÄN</t>
        </is>
      </c>
      <c r="E2921" t="inlineStr">
        <is>
          <t>VÄNERSBORG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8008-2020</t>
        </is>
      </c>
      <c r="B2922" s="1" t="n">
        <v>43873</v>
      </c>
      <c r="C2922" s="1" t="n">
        <v>45586</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8018-2020</t>
        </is>
      </c>
      <c r="B2923" s="1" t="n">
        <v>43873</v>
      </c>
      <c r="C2923" s="1" t="n">
        <v>45586</v>
      </c>
      <c r="D2923" t="inlineStr">
        <is>
          <t>VÄSTRA GÖTALANDS LÄN</t>
        </is>
      </c>
      <c r="E2923" t="inlineStr">
        <is>
          <t>KARLSBORG</t>
        </is>
      </c>
      <c r="F2923" t="inlineStr">
        <is>
          <t>Övriga Aktiebolag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8162-2020</t>
        </is>
      </c>
      <c r="B2924" s="1" t="n">
        <v>43873</v>
      </c>
      <c r="C2924" s="1" t="n">
        <v>45586</v>
      </c>
      <c r="D2924" t="inlineStr">
        <is>
          <t>VÄSTRA GÖTALANDS LÄN</t>
        </is>
      </c>
      <c r="E2924" t="inlineStr">
        <is>
          <t>BENGTSFORS</t>
        </is>
      </c>
      <c r="F2924" t="inlineStr">
        <is>
          <t>Övriga Aktiebolag</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7918-2020</t>
        </is>
      </c>
      <c r="B2925" s="1" t="n">
        <v>43873</v>
      </c>
      <c r="C2925" s="1" t="n">
        <v>45586</v>
      </c>
      <c r="D2925" t="inlineStr">
        <is>
          <t>VÄSTRA GÖTALANDS LÄN</t>
        </is>
      </c>
      <c r="E2925" t="inlineStr">
        <is>
          <t>TÖREBODA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8161-2020</t>
        </is>
      </c>
      <c r="B2926" s="1" t="n">
        <v>43874</v>
      </c>
      <c r="C2926" s="1" t="n">
        <v>45586</v>
      </c>
      <c r="D2926" t="inlineStr">
        <is>
          <t>VÄSTRA GÖTALANDS LÄN</t>
        </is>
      </c>
      <c r="E2926" t="inlineStr">
        <is>
          <t>KARLSBORG</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8168-2020</t>
        </is>
      </c>
      <c r="B2927" s="1" t="n">
        <v>43874</v>
      </c>
      <c r="C2927" s="1" t="n">
        <v>45586</v>
      </c>
      <c r="D2927" t="inlineStr">
        <is>
          <t>VÄSTRA GÖTALANDS LÄN</t>
        </is>
      </c>
      <c r="E2927" t="inlineStr">
        <is>
          <t>BENGTSFORS</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8177-2020</t>
        </is>
      </c>
      <c r="B2928" s="1" t="n">
        <v>43874</v>
      </c>
      <c r="C2928" s="1" t="n">
        <v>45586</v>
      </c>
      <c r="D2928" t="inlineStr">
        <is>
          <t>VÄSTRA GÖTALANDS LÄN</t>
        </is>
      </c>
      <c r="E2928" t="inlineStr">
        <is>
          <t>BENGTSFORS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8069-2020</t>
        </is>
      </c>
      <c r="B2929" s="1" t="n">
        <v>43874</v>
      </c>
      <c r="C2929" s="1" t="n">
        <v>45586</v>
      </c>
      <c r="D2929" t="inlineStr">
        <is>
          <t>VÄSTRA GÖTALANDS LÄN</t>
        </is>
      </c>
      <c r="E2929" t="inlineStr">
        <is>
          <t>KARLSBORG</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8167-2020</t>
        </is>
      </c>
      <c r="B2930" s="1" t="n">
        <v>43874</v>
      </c>
      <c r="C2930" s="1" t="n">
        <v>45586</v>
      </c>
      <c r="D2930" t="inlineStr">
        <is>
          <t>VÄSTRA GÖTALANDS LÄN</t>
        </is>
      </c>
      <c r="E2930" t="inlineStr">
        <is>
          <t>KARLSBORG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8232-2020</t>
        </is>
      </c>
      <c r="B2931" s="1" t="n">
        <v>43874</v>
      </c>
      <c r="C2931" s="1" t="n">
        <v>45586</v>
      </c>
      <c r="D2931" t="inlineStr">
        <is>
          <t>VÄSTRA GÖTALANDS LÄN</t>
        </is>
      </c>
      <c r="E2931" t="inlineStr">
        <is>
          <t>BOLLEBYGD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8371-2020</t>
        </is>
      </c>
      <c r="B2932" s="1" t="n">
        <v>43874</v>
      </c>
      <c r="C2932" s="1" t="n">
        <v>45586</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8375-2020</t>
        </is>
      </c>
      <c r="B2933" s="1" t="n">
        <v>43874</v>
      </c>
      <c r="C2933" s="1" t="n">
        <v>45586</v>
      </c>
      <c r="D2933" t="inlineStr">
        <is>
          <t>VÄSTRA GÖTALANDS LÄN</t>
        </is>
      </c>
      <c r="E2933" t="inlineStr">
        <is>
          <t>MELLERUD</t>
        </is>
      </c>
      <c r="F2933" t="inlineStr">
        <is>
          <t>Övriga Aktiebolag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8140-2020</t>
        </is>
      </c>
      <c r="B2934" s="1" t="n">
        <v>43874</v>
      </c>
      <c r="C2934" s="1" t="n">
        <v>45586</v>
      </c>
      <c r="D2934" t="inlineStr">
        <is>
          <t>VÄSTRA GÖTALANDS LÄN</t>
        </is>
      </c>
      <c r="E2934" t="inlineStr">
        <is>
          <t>TROLLHÄTTAN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8172-2020</t>
        </is>
      </c>
      <c r="B2935" s="1" t="n">
        <v>43874</v>
      </c>
      <c r="C2935" s="1" t="n">
        <v>45586</v>
      </c>
      <c r="D2935" t="inlineStr">
        <is>
          <t>VÄSTRA GÖTALANDS LÄN</t>
        </is>
      </c>
      <c r="E2935" t="inlineStr">
        <is>
          <t>KARLSBORG</t>
        </is>
      </c>
      <c r="F2935" t="inlineStr">
        <is>
          <t>Övriga Aktiebolag</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8155-2020</t>
        </is>
      </c>
      <c r="B2936" s="1" t="n">
        <v>43874</v>
      </c>
      <c r="C2936" s="1" t="n">
        <v>45586</v>
      </c>
      <c r="D2936" t="inlineStr">
        <is>
          <t>VÄSTRA GÖTALANDS LÄN</t>
        </is>
      </c>
      <c r="E2936" t="inlineStr">
        <is>
          <t>KARLSBORG</t>
        </is>
      </c>
      <c r="F2936" t="inlineStr">
        <is>
          <t>Övriga Aktiebolag</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8120-2020</t>
        </is>
      </c>
      <c r="B2937" s="1" t="n">
        <v>43874</v>
      </c>
      <c r="C2937" s="1" t="n">
        <v>45586</v>
      </c>
      <c r="D2937" t="inlineStr">
        <is>
          <t>VÄSTRA GÖTALANDS LÄN</t>
        </is>
      </c>
      <c r="E2937" t="inlineStr">
        <is>
          <t>FALKÖPING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8292-2020</t>
        </is>
      </c>
      <c r="B2938" s="1" t="n">
        <v>43875</v>
      </c>
      <c r="C2938" s="1" t="n">
        <v>45586</v>
      </c>
      <c r="D2938" t="inlineStr">
        <is>
          <t>VÄSTRA GÖTALANDS LÄN</t>
        </is>
      </c>
      <c r="E2938" t="inlineStr">
        <is>
          <t>ALINGSÅS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8467-2020</t>
        </is>
      </c>
      <c r="B2939" s="1" t="n">
        <v>43875</v>
      </c>
      <c r="C2939" s="1" t="n">
        <v>45586</v>
      </c>
      <c r="D2939" t="inlineStr">
        <is>
          <t>VÄSTRA GÖTALANDS LÄN</t>
        </is>
      </c>
      <c r="E2939" t="inlineStr">
        <is>
          <t>HÄRRYDA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8428-2020</t>
        </is>
      </c>
      <c r="B2940" s="1" t="n">
        <v>43875</v>
      </c>
      <c r="C2940" s="1" t="n">
        <v>45586</v>
      </c>
      <c r="D2940" t="inlineStr">
        <is>
          <t>VÄSTRA GÖTALANDS LÄN</t>
        </is>
      </c>
      <c r="E2940" t="inlineStr">
        <is>
          <t>BORÅS</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8606-2020</t>
        </is>
      </c>
      <c r="B2941" s="1" t="n">
        <v>43875</v>
      </c>
      <c r="C2941" s="1" t="n">
        <v>45586</v>
      </c>
      <c r="D2941" t="inlineStr">
        <is>
          <t>VÄSTRA GÖTALANDS LÄN</t>
        </is>
      </c>
      <c r="E2941" t="inlineStr">
        <is>
          <t>VARA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8318-2020</t>
        </is>
      </c>
      <c r="B2942" s="1" t="n">
        <v>43875</v>
      </c>
      <c r="C2942" s="1" t="n">
        <v>45586</v>
      </c>
      <c r="D2942" t="inlineStr">
        <is>
          <t>VÄSTRA GÖTALANDS LÄN</t>
        </is>
      </c>
      <c r="E2942" t="inlineStr">
        <is>
          <t>STENUNGSUND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8701-2020</t>
        </is>
      </c>
      <c r="B2943" s="1" t="n">
        <v>43875</v>
      </c>
      <c r="C2943" s="1" t="n">
        <v>45586</v>
      </c>
      <c r="D2943" t="inlineStr">
        <is>
          <t>VÄSTRA GÖTALANDS LÄN</t>
        </is>
      </c>
      <c r="E2943" t="inlineStr">
        <is>
          <t>VÅRGÅRDA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8548-2020</t>
        </is>
      </c>
      <c r="B2944" s="1" t="n">
        <v>43876</v>
      </c>
      <c r="C2944" s="1" t="n">
        <v>45586</v>
      </c>
      <c r="D2944" t="inlineStr">
        <is>
          <t>VÄSTRA GÖTALANDS LÄN</t>
        </is>
      </c>
      <c r="E2944" t="inlineStr">
        <is>
          <t>BORÅS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8547-2020</t>
        </is>
      </c>
      <c r="B2945" s="1" t="n">
        <v>43876</v>
      </c>
      <c r="C2945" s="1" t="n">
        <v>45586</v>
      </c>
      <c r="D2945" t="inlineStr">
        <is>
          <t>VÄSTRA GÖTALANDS LÄN</t>
        </is>
      </c>
      <c r="E2945" t="inlineStr">
        <is>
          <t>BORÅS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8615-2020</t>
        </is>
      </c>
      <c r="B2946" s="1" t="n">
        <v>43878</v>
      </c>
      <c r="C2946" s="1" t="n">
        <v>45586</v>
      </c>
      <c r="D2946" t="inlineStr">
        <is>
          <t>VÄSTRA GÖTALANDS LÄN</t>
        </is>
      </c>
      <c r="E2946" t="inlineStr">
        <is>
          <t>STENUNGSUND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8735-2020</t>
        </is>
      </c>
      <c r="B2947" s="1" t="n">
        <v>43878</v>
      </c>
      <c r="C2947" s="1" t="n">
        <v>45586</v>
      </c>
      <c r="D2947" t="inlineStr">
        <is>
          <t>VÄSTRA GÖTALANDS LÄN</t>
        </is>
      </c>
      <c r="E2947" t="inlineStr">
        <is>
          <t>MARK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8705-2020</t>
        </is>
      </c>
      <c r="B2948" s="1" t="n">
        <v>43878</v>
      </c>
      <c r="C2948" s="1" t="n">
        <v>45586</v>
      </c>
      <c r="D2948" t="inlineStr">
        <is>
          <t>VÄSTRA GÖTALANDS LÄN</t>
        </is>
      </c>
      <c r="E2948" t="inlineStr">
        <is>
          <t>FALKÖPING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8746-2020</t>
        </is>
      </c>
      <c r="B2949" s="1" t="n">
        <v>43878</v>
      </c>
      <c r="C2949" s="1" t="n">
        <v>45586</v>
      </c>
      <c r="D2949" t="inlineStr">
        <is>
          <t>VÄSTRA GÖTALANDS LÄN</t>
        </is>
      </c>
      <c r="E2949" t="inlineStr">
        <is>
          <t>FALKÖPING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8772-2020</t>
        </is>
      </c>
      <c r="B2950" s="1" t="n">
        <v>43878</v>
      </c>
      <c r="C2950" s="1" t="n">
        <v>45586</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8730-2020</t>
        </is>
      </c>
      <c r="B2951" s="1" t="n">
        <v>43878</v>
      </c>
      <c r="C2951" s="1" t="n">
        <v>45586</v>
      </c>
      <c r="D2951" t="inlineStr">
        <is>
          <t>VÄSTRA GÖTALANDS LÄN</t>
        </is>
      </c>
      <c r="E2951" t="inlineStr">
        <is>
          <t>TIDAHOLM</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8773-2020</t>
        </is>
      </c>
      <c r="B2952" s="1" t="n">
        <v>43878</v>
      </c>
      <c r="C2952" s="1" t="n">
        <v>45586</v>
      </c>
      <c r="D2952" t="inlineStr">
        <is>
          <t>VÄSTRA GÖTALANDS LÄN</t>
        </is>
      </c>
      <c r="E2952" t="inlineStr">
        <is>
          <t>LILLA EDET</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8767-2020</t>
        </is>
      </c>
      <c r="B2953" s="1" t="n">
        <v>43878</v>
      </c>
      <c r="C2953" s="1" t="n">
        <v>45586</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8857-2020</t>
        </is>
      </c>
      <c r="B2954" s="1" t="n">
        <v>43878</v>
      </c>
      <c r="C2954" s="1" t="n">
        <v>45586</v>
      </c>
      <c r="D2954" t="inlineStr">
        <is>
          <t>VÄSTRA GÖTALANDS LÄN</t>
        </is>
      </c>
      <c r="E2954" t="inlineStr">
        <is>
          <t>UDDEVALLA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8925-2020</t>
        </is>
      </c>
      <c r="B2955" s="1" t="n">
        <v>43878</v>
      </c>
      <c r="C2955" s="1" t="n">
        <v>45586</v>
      </c>
      <c r="D2955" t="inlineStr">
        <is>
          <t>VÄSTRA GÖTALANDS LÄN</t>
        </is>
      </c>
      <c r="E2955" t="inlineStr">
        <is>
          <t>VARA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8965-2020</t>
        </is>
      </c>
      <c r="B2956" s="1" t="n">
        <v>43878</v>
      </c>
      <c r="C2956" s="1" t="n">
        <v>45586</v>
      </c>
      <c r="D2956" t="inlineStr">
        <is>
          <t>VÄSTRA GÖTALANDS LÄN</t>
        </is>
      </c>
      <c r="E2956" t="inlineStr">
        <is>
          <t>TROLLHÄTTAN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9305-2020</t>
        </is>
      </c>
      <c r="B2957" s="1" t="n">
        <v>43878</v>
      </c>
      <c r="C2957" s="1" t="n">
        <v>45586</v>
      </c>
      <c r="D2957" t="inlineStr">
        <is>
          <t>VÄSTRA GÖTALANDS LÄN</t>
        </is>
      </c>
      <c r="E2957" t="inlineStr">
        <is>
          <t>MUNKEDAL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8707-2020</t>
        </is>
      </c>
      <c r="B2958" s="1" t="n">
        <v>43878</v>
      </c>
      <c r="C2958" s="1" t="n">
        <v>45586</v>
      </c>
      <c r="D2958" t="inlineStr">
        <is>
          <t>VÄSTRA GÖTALANDS LÄN</t>
        </is>
      </c>
      <c r="E2958" t="inlineStr">
        <is>
          <t>BORÅS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9025-2020</t>
        </is>
      </c>
      <c r="B2959" s="1" t="n">
        <v>43879</v>
      </c>
      <c r="C2959" s="1" t="n">
        <v>45586</v>
      </c>
      <c r="D2959" t="inlineStr">
        <is>
          <t>VÄSTRA GÖTALANDS LÄN</t>
        </is>
      </c>
      <c r="E2959" t="inlineStr">
        <is>
          <t>VÅRGÅRDA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9167-2020</t>
        </is>
      </c>
      <c r="B2960" s="1" t="n">
        <v>43879</v>
      </c>
      <c r="C2960" s="1" t="n">
        <v>45586</v>
      </c>
      <c r="D2960" t="inlineStr">
        <is>
          <t>VÄSTRA GÖTALANDS LÄN</t>
        </is>
      </c>
      <c r="E2960" t="inlineStr">
        <is>
          <t>FÄRGELANDA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9133-2020</t>
        </is>
      </c>
      <c r="B2961" s="1" t="n">
        <v>43879</v>
      </c>
      <c r="C2961" s="1" t="n">
        <v>45586</v>
      </c>
      <c r="D2961" t="inlineStr">
        <is>
          <t>VÄSTRA GÖTALANDS LÄN</t>
        </is>
      </c>
      <c r="E2961" t="inlineStr">
        <is>
          <t>ALINGSÅS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9126-2020</t>
        </is>
      </c>
      <c r="B2962" s="1" t="n">
        <v>43879</v>
      </c>
      <c r="C2962" s="1" t="n">
        <v>45586</v>
      </c>
      <c r="D2962" t="inlineStr">
        <is>
          <t>VÄSTRA GÖTALANDS LÄN</t>
        </is>
      </c>
      <c r="E2962" t="inlineStr">
        <is>
          <t>ALINGSÅS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9142-2020</t>
        </is>
      </c>
      <c r="B2963" s="1" t="n">
        <v>43879</v>
      </c>
      <c r="C2963" s="1" t="n">
        <v>45586</v>
      </c>
      <c r="D2963" t="inlineStr">
        <is>
          <t>VÄSTRA GÖTALANDS LÄN</t>
        </is>
      </c>
      <c r="E2963" t="inlineStr">
        <is>
          <t>VÄNERSBORG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9182-2020</t>
        </is>
      </c>
      <c r="B2964" s="1" t="n">
        <v>43879</v>
      </c>
      <c r="C2964" s="1" t="n">
        <v>45586</v>
      </c>
      <c r="D2964" t="inlineStr">
        <is>
          <t>VÄSTRA GÖTALANDS LÄN</t>
        </is>
      </c>
      <c r="E2964" t="inlineStr">
        <is>
          <t>HERRLJUNGA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9244-2020</t>
        </is>
      </c>
      <c r="B2965" s="1" t="n">
        <v>43879</v>
      </c>
      <c r="C2965" s="1" t="n">
        <v>45586</v>
      </c>
      <c r="D2965" t="inlineStr">
        <is>
          <t>VÄSTRA GÖTALANDS LÄN</t>
        </is>
      </c>
      <c r="E2965" t="inlineStr">
        <is>
          <t>TIDAHOLM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9229-2020</t>
        </is>
      </c>
      <c r="B2966" s="1" t="n">
        <v>43879</v>
      </c>
      <c r="C2966" s="1" t="n">
        <v>45586</v>
      </c>
      <c r="D2966" t="inlineStr">
        <is>
          <t>VÄSTRA GÖTALANDS LÄN</t>
        </is>
      </c>
      <c r="E2966" t="inlineStr">
        <is>
          <t>ULRICEHAMN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9154-2020</t>
        </is>
      </c>
      <c r="B2967" s="1" t="n">
        <v>43879</v>
      </c>
      <c r="C2967" s="1" t="n">
        <v>45586</v>
      </c>
      <c r="D2967" t="inlineStr">
        <is>
          <t>VÄSTRA GÖTALANDS LÄN</t>
        </is>
      </c>
      <c r="E2967" t="inlineStr">
        <is>
          <t>ALE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9155-2020</t>
        </is>
      </c>
      <c r="B2968" s="1" t="n">
        <v>43879</v>
      </c>
      <c r="C2968" s="1" t="n">
        <v>45586</v>
      </c>
      <c r="D2968" t="inlineStr">
        <is>
          <t>VÄSTRA GÖTALANDS LÄN</t>
        </is>
      </c>
      <c r="E2968" t="inlineStr">
        <is>
          <t>VÄNERSBORG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9261-2020</t>
        </is>
      </c>
      <c r="B2969" s="1" t="n">
        <v>43879</v>
      </c>
      <c r="C2969" s="1" t="n">
        <v>45586</v>
      </c>
      <c r="D2969" t="inlineStr">
        <is>
          <t>VÄSTRA GÖTALANDS LÄN</t>
        </is>
      </c>
      <c r="E2969" t="inlineStr">
        <is>
          <t>VARA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9336-2020</t>
        </is>
      </c>
      <c r="B2970" s="1" t="n">
        <v>43880</v>
      </c>
      <c r="C2970" s="1" t="n">
        <v>45586</v>
      </c>
      <c r="D2970" t="inlineStr">
        <is>
          <t>VÄSTRA GÖTALANDS LÄN</t>
        </is>
      </c>
      <c r="E2970" t="inlineStr">
        <is>
          <t>GULLSPÅNG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9436-2020</t>
        </is>
      </c>
      <c r="B2971" s="1" t="n">
        <v>43880</v>
      </c>
      <c r="C2971" s="1" t="n">
        <v>45586</v>
      </c>
      <c r="D2971" t="inlineStr">
        <is>
          <t>VÄSTRA GÖTALANDS LÄN</t>
        </is>
      </c>
      <c r="E2971" t="inlineStr">
        <is>
          <t>BOLLEBYGD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9490-2020</t>
        </is>
      </c>
      <c r="B2972" s="1" t="n">
        <v>43880</v>
      </c>
      <c r="C2972" s="1" t="n">
        <v>45586</v>
      </c>
      <c r="D2972" t="inlineStr">
        <is>
          <t>VÄSTRA GÖTALANDS LÄN</t>
        </is>
      </c>
      <c r="E2972" t="inlineStr">
        <is>
          <t>BENGTSFORS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9499-2020</t>
        </is>
      </c>
      <c r="B2973" s="1" t="n">
        <v>43880</v>
      </c>
      <c r="C2973" s="1" t="n">
        <v>45586</v>
      </c>
      <c r="D2973" t="inlineStr">
        <is>
          <t>VÄSTRA GÖTALANDS LÄN</t>
        </is>
      </c>
      <c r="E2973" t="inlineStr">
        <is>
          <t>HJO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9316-2020</t>
        </is>
      </c>
      <c r="B2974" s="1" t="n">
        <v>43880</v>
      </c>
      <c r="C2974" s="1" t="n">
        <v>45586</v>
      </c>
      <c r="D2974" t="inlineStr">
        <is>
          <t>VÄSTRA GÖTALANDS LÄN</t>
        </is>
      </c>
      <c r="E2974" t="inlineStr">
        <is>
          <t>KUNGÄLV</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9622-2020</t>
        </is>
      </c>
      <c r="B2975" s="1" t="n">
        <v>43881</v>
      </c>
      <c r="C2975" s="1" t="n">
        <v>45586</v>
      </c>
      <c r="D2975" t="inlineStr">
        <is>
          <t>VÄSTRA GÖTALANDS LÄN</t>
        </is>
      </c>
      <c r="E2975" t="inlineStr">
        <is>
          <t>FÄRGELANDA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9713-2020</t>
        </is>
      </c>
      <c r="B2976" s="1" t="n">
        <v>43881</v>
      </c>
      <c r="C2976" s="1" t="n">
        <v>45586</v>
      </c>
      <c r="D2976" t="inlineStr">
        <is>
          <t>VÄSTRA GÖTALANDS LÄN</t>
        </is>
      </c>
      <c r="E2976" t="inlineStr">
        <is>
          <t>DALS-ED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9789-2020</t>
        </is>
      </c>
      <c r="B2977" s="1" t="n">
        <v>43881</v>
      </c>
      <c r="C2977" s="1" t="n">
        <v>45586</v>
      </c>
      <c r="D2977" t="inlineStr">
        <is>
          <t>VÄSTRA GÖTALANDS LÄN</t>
        </is>
      </c>
      <c r="E2977" t="inlineStr">
        <is>
          <t>ÅMÅL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9715-2020</t>
        </is>
      </c>
      <c r="B2978" s="1" t="n">
        <v>43881</v>
      </c>
      <c r="C2978" s="1" t="n">
        <v>45586</v>
      </c>
      <c r="D2978" t="inlineStr">
        <is>
          <t>VÄSTRA GÖTALANDS LÄN</t>
        </is>
      </c>
      <c r="E2978" t="inlineStr">
        <is>
          <t>DALS-ED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9840-2020</t>
        </is>
      </c>
      <c r="B2979" s="1" t="n">
        <v>43881</v>
      </c>
      <c r="C2979" s="1" t="n">
        <v>45586</v>
      </c>
      <c r="D2979" t="inlineStr">
        <is>
          <t>VÄSTRA GÖTALANDS LÄN</t>
        </is>
      </c>
      <c r="E2979" t="inlineStr">
        <is>
          <t>STRÖMSTAD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9709-2020</t>
        </is>
      </c>
      <c r="B2980" s="1" t="n">
        <v>43881</v>
      </c>
      <c r="C2980" s="1" t="n">
        <v>45586</v>
      </c>
      <c r="D2980" t="inlineStr">
        <is>
          <t>VÄSTRA GÖTALANDS LÄN</t>
        </is>
      </c>
      <c r="E2980" t="inlineStr">
        <is>
          <t>DALS-ED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9773-2020</t>
        </is>
      </c>
      <c r="B2981" s="1" t="n">
        <v>43881</v>
      </c>
      <c r="C2981" s="1" t="n">
        <v>45586</v>
      </c>
      <c r="D2981" t="inlineStr">
        <is>
          <t>VÄSTRA GÖTALANDS LÄN</t>
        </is>
      </c>
      <c r="E2981" t="inlineStr">
        <is>
          <t>ULRICEHAMN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9906-2020</t>
        </is>
      </c>
      <c r="B2982" s="1" t="n">
        <v>43882</v>
      </c>
      <c r="C2982" s="1" t="n">
        <v>45586</v>
      </c>
      <c r="D2982" t="inlineStr">
        <is>
          <t>VÄSTRA GÖTALANDS LÄN</t>
        </is>
      </c>
      <c r="E2982" t="inlineStr">
        <is>
          <t>TÖREBODA</t>
        </is>
      </c>
      <c r="F2982" t="inlineStr">
        <is>
          <t>Övriga statliga verk och myndigheter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9854-2020</t>
        </is>
      </c>
      <c r="B2983" s="1" t="n">
        <v>43882</v>
      </c>
      <c r="C2983" s="1" t="n">
        <v>45586</v>
      </c>
      <c r="D2983" t="inlineStr">
        <is>
          <t>VÄSTRA GÖTALANDS LÄN</t>
        </is>
      </c>
      <c r="E2983" t="inlineStr">
        <is>
          <t>ALINGSÅS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9864-2020</t>
        </is>
      </c>
      <c r="B2984" s="1" t="n">
        <v>43882</v>
      </c>
      <c r="C2984" s="1" t="n">
        <v>45586</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9998-2020</t>
        </is>
      </c>
      <c r="B2985" s="1" t="n">
        <v>43882</v>
      </c>
      <c r="C2985" s="1" t="n">
        <v>45586</v>
      </c>
      <c r="D2985" t="inlineStr">
        <is>
          <t>VÄSTRA GÖTALANDS LÄN</t>
        </is>
      </c>
      <c r="E2985" t="inlineStr">
        <is>
          <t>BORÅS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9858-2020</t>
        </is>
      </c>
      <c r="B2986" s="1" t="n">
        <v>43882</v>
      </c>
      <c r="C2986" s="1" t="n">
        <v>45586</v>
      </c>
      <c r="D2986" t="inlineStr">
        <is>
          <t>VÄSTRA GÖTALANDS LÄN</t>
        </is>
      </c>
      <c r="E2986" t="inlineStr">
        <is>
          <t>TÖREBODA</t>
        </is>
      </c>
      <c r="F2986" t="inlineStr">
        <is>
          <t>Övriga statliga verk och myndigheter</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9886-2020</t>
        </is>
      </c>
      <c r="B2987" s="1" t="n">
        <v>43882</v>
      </c>
      <c r="C2987" s="1" t="n">
        <v>45586</v>
      </c>
      <c r="D2987" t="inlineStr">
        <is>
          <t>VÄSTRA GÖTALANDS LÄN</t>
        </is>
      </c>
      <c r="E2987" t="inlineStr">
        <is>
          <t>TRANEMO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9900-2020</t>
        </is>
      </c>
      <c r="B2988" s="1" t="n">
        <v>43882</v>
      </c>
      <c r="C2988" s="1" t="n">
        <v>45586</v>
      </c>
      <c r="D2988" t="inlineStr">
        <is>
          <t>VÄSTRA GÖTALANDS LÄN</t>
        </is>
      </c>
      <c r="E2988" t="inlineStr">
        <is>
          <t>ULRICEHAMN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9995-2020</t>
        </is>
      </c>
      <c r="B2989" s="1" t="n">
        <v>43882</v>
      </c>
      <c r="C2989" s="1" t="n">
        <v>45586</v>
      </c>
      <c r="D2989" t="inlineStr">
        <is>
          <t>VÄSTRA GÖTALANDS LÄN</t>
        </is>
      </c>
      <c r="E2989" t="inlineStr">
        <is>
          <t>BORÅS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10071-2020</t>
        </is>
      </c>
      <c r="B2990" s="1" t="n">
        <v>43884</v>
      </c>
      <c r="C2990" s="1" t="n">
        <v>45586</v>
      </c>
      <c r="D2990" t="inlineStr">
        <is>
          <t>VÄSTRA GÖTALANDS LÄN</t>
        </is>
      </c>
      <c r="E2990" t="inlineStr">
        <is>
          <t>FÄRGELANDA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10081-2020</t>
        </is>
      </c>
      <c r="B2991" s="1" t="n">
        <v>43885</v>
      </c>
      <c r="C2991" s="1" t="n">
        <v>45586</v>
      </c>
      <c r="D2991" t="inlineStr">
        <is>
          <t>VÄSTRA GÖTALANDS LÄN</t>
        </is>
      </c>
      <c r="E2991" t="inlineStr">
        <is>
          <t>TÖREBODA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10350-2020</t>
        </is>
      </c>
      <c r="B2992" s="1" t="n">
        <v>43885</v>
      </c>
      <c r="C2992" s="1" t="n">
        <v>45586</v>
      </c>
      <c r="D2992" t="inlineStr">
        <is>
          <t>VÄSTRA GÖTALANDS LÄN</t>
        </is>
      </c>
      <c r="E2992" t="inlineStr">
        <is>
          <t>SKÖVDE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10179-2020</t>
        </is>
      </c>
      <c r="B2993" s="1" t="n">
        <v>43885</v>
      </c>
      <c r="C2993" s="1" t="n">
        <v>45586</v>
      </c>
      <c r="D2993" t="inlineStr">
        <is>
          <t>VÄSTRA GÖTALANDS LÄN</t>
        </is>
      </c>
      <c r="E2993" t="inlineStr">
        <is>
          <t>SKARA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10399-2020</t>
        </is>
      </c>
      <c r="B2994" s="1" t="n">
        <v>43885</v>
      </c>
      <c r="C2994" s="1" t="n">
        <v>45586</v>
      </c>
      <c r="D2994" t="inlineStr">
        <is>
          <t>VÄSTRA GÖTALANDS LÄN</t>
        </is>
      </c>
      <c r="E2994" t="inlineStr">
        <is>
          <t>STRÖMSTAD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10381-2020</t>
        </is>
      </c>
      <c r="B2995" s="1" t="n">
        <v>43885</v>
      </c>
      <c r="C2995" s="1" t="n">
        <v>45586</v>
      </c>
      <c r="D2995" t="inlineStr">
        <is>
          <t>VÄSTRA GÖTALANDS LÄN</t>
        </is>
      </c>
      <c r="E2995" t="inlineStr">
        <is>
          <t>BENGTSFORS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10157-2020</t>
        </is>
      </c>
      <c r="B2996" s="1" t="n">
        <v>43886</v>
      </c>
      <c r="C2996" s="1" t="n">
        <v>45586</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10429-2020</t>
        </is>
      </c>
      <c r="B2997" s="1" t="n">
        <v>43886</v>
      </c>
      <c r="C2997" s="1" t="n">
        <v>45586</v>
      </c>
      <c r="D2997" t="inlineStr">
        <is>
          <t>VÄSTRA GÖTALANDS LÄN</t>
        </is>
      </c>
      <c r="E2997" t="inlineStr">
        <is>
          <t>TÖREBODA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10499-2020</t>
        </is>
      </c>
      <c r="B2998" s="1" t="n">
        <v>43886</v>
      </c>
      <c r="C2998" s="1" t="n">
        <v>45586</v>
      </c>
      <c r="D2998" t="inlineStr">
        <is>
          <t>VÄSTRA GÖTALANDS LÄN</t>
        </is>
      </c>
      <c r="E2998" t="inlineStr">
        <is>
          <t>ULRICEHAMN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10079-2020</t>
        </is>
      </c>
      <c r="B2999" s="1" t="n">
        <v>43886</v>
      </c>
      <c r="C2999" s="1" t="n">
        <v>45586</v>
      </c>
      <c r="D2999" t="inlineStr">
        <is>
          <t>VÄSTRA GÖTALANDS LÄN</t>
        </is>
      </c>
      <c r="E2999" t="inlineStr">
        <is>
          <t>ALE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10520-2020</t>
        </is>
      </c>
      <c r="B3000" s="1" t="n">
        <v>43886</v>
      </c>
      <c r="C3000" s="1" t="n">
        <v>45586</v>
      </c>
      <c r="D3000" t="inlineStr">
        <is>
          <t>VÄSTRA GÖTALANDS LÄN</t>
        </is>
      </c>
      <c r="E3000" t="inlineStr">
        <is>
          <t>ALINGSÅS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10433-2020</t>
        </is>
      </c>
      <c r="B3001" s="1" t="n">
        <v>43886</v>
      </c>
      <c r="C3001" s="1" t="n">
        <v>45586</v>
      </c>
      <c r="D3001" t="inlineStr">
        <is>
          <t>VÄSTRA GÖTALANDS LÄN</t>
        </is>
      </c>
      <c r="E3001" t="inlineStr">
        <is>
          <t>DALS-ED</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10421-2020</t>
        </is>
      </c>
      <c r="B3002" s="1" t="n">
        <v>43886</v>
      </c>
      <c r="C3002" s="1" t="n">
        <v>45586</v>
      </c>
      <c r="D3002" t="inlineStr">
        <is>
          <t>VÄSTRA GÖTALANDS LÄN</t>
        </is>
      </c>
      <c r="E3002" t="inlineStr">
        <is>
          <t>BORÅS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10423-2020</t>
        </is>
      </c>
      <c r="B3003" s="1" t="n">
        <v>43886</v>
      </c>
      <c r="C3003" s="1" t="n">
        <v>45586</v>
      </c>
      <c r="D3003" t="inlineStr">
        <is>
          <t>VÄSTRA GÖTALANDS LÄN</t>
        </is>
      </c>
      <c r="E3003" t="inlineStr">
        <is>
          <t>STENUNGSUND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11366-2020</t>
        </is>
      </c>
      <c r="B3004" s="1" t="n">
        <v>43886</v>
      </c>
      <c r="C3004" s="1" t="n">
        <v>45586</v>
      </c>
      <c r="D3004" t="inlineStr">
        <is>
          <t>VÄSTRA GÖTALANDS LÄN</t>
        </is>
      </c>
      <c r="E3004" t="inlineStr">
        <is>
          <t>DALS-ED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11370-2020</t>
        </is>
      </c>
      <c r="B3005" s="1" t="n">
        <v>43886</v>
      </c>
      <c r="C3005" s="1" t="n">
        <v>45586</v>
      </c>
      <c r="D3005" t="inlineStr">
        <is>
          <t>VÄSTRA GÖTALANDS LÄN</t>
        </is>
      </c>
      <c r="E3005" t="inlineStr">
        <is>
          <t>DALS-ED</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10113-2020</t>
        </is>
      </c>
      <c r="B3006" s="1" t="n">
        <v>43887</v>
      </c>
      <c r="C3006" s="1" t="n">
        <v>45586</v>
      </c>
      <c r="D3006" t="inlineStr">
        <is>
          <t>VÄSTRA GÖTALANDS LÄN</t>
        </is>
      </c>
      <c r="E3006" t="inlineStr">
        <is>
          <t>ALINGSÅS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10609-2020</t>
        </is>
      </c>
      <c r="B3007" s="1" t="n">
        <v>43887</v>
      </c>
      <c r="C3007" s="1" t="n">
        <v>45586</v>
      </c>
      <c r="D3007" t="inlineStr">
        <is>
          <t>VÄSTRA GÖTALANDS LÄN</t>
        </is>
      </c>
      <c r="E3007" t="inlineStr">
        <is>
          <t>LILLA EDET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11484-2020</t>
        </is>
      </c>
      <c r="B3008" s="1" t="n">
        <v>43887</v>
      </c>
      <c r="C3008" s="1" t="n">
        <v>45586</v>
      </c>
      <c r="D3008" t="inlineStr">
        <is>
          <t>VÄSTRA GÖTALANDS LÄN</t>
        </is>
      </c>
      <c r="E3008" t="inlineStr">
        <is>
          <t>TÖREBODA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11840-2020</t>
        </is>
      </c>
      <c r="B3009" s="1" t="n">
        <v>43887</v>
      </c>
      <c r="C3009" s="1" t="n">
        <v>45586</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10115-2020</t>
        </is>
      </c>
      <c r="B3010" s="1" t="n">
        <v>43887</v>
      </c>
      <c r="C3010" s="1" t="n">
        <v>45586</v>
      </c>
      <c r="D3010" t="inlineStr">
        <is>
          <t>VÄSTRA GÖTALANDS LÄN</t>
        </is>
      </c>
      <c r="E3010" t="inlineStr">
        <is>
          <t>SVENLJUNGA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10270-2020</t>
        </is>
      </c>
      <c r="B3011" s="1" t="n">
        <v>43887</v>
      </c>
      <c r="C3011" s="1" t="n">
        <v>45586</v>
      </c>
      <c r="D3011" t="inlineStr">
        <is>
          <t>VÄSTRA GÖTALANDS LÄN</t>
        </is>
      </c>
      <c r="E3011" t="inlineStr">
        <is>
          <t>HÄRRYDA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10177-2020</t>
        </is>
      </c>
      <c r="B3012" s="1" t="n">
        <v>43887</v>
      </c>
      <c r="C3012" s="1" t="n">
        <v>45586</v>
      </c>
      <c r="D3012" t="inlineStr">
        <is>
          <t>VÄSTRA GÖTALANDS LÄN</t>
        </is>
      </c>
      <c r="E3012" t="inlineStr">
        <is>
          <t>UDDEVALLA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11853-2020</t>
        </is>
      </c>
      <c r="B3013" s="1" t="n">
        <v>43887</v>
      </c>
      <c r="C3013" s="1" t="n">
        <v>45586</v>
      </c>
      <c r="D3013" t="inlineStr">
        <is>
          <t>VÄSTRA GÖTALANDS LÄN</t>
        </is>
      </c>
      <c r="E3013" t="inlineStr">
        <is>
          <t>TANUM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11846-2020</t>
        </is>
      </c>
      <c r="B3014" s="1" t="n">
        <v>43887</v>
      </c>
      <c r="C3014" s="1" t="n">
        <v>45586</v>
      </c>
      <c r="D3014" t="inlineStr">
        <is>
          <t>VÄSTRA GÖTALANDS LÄN</t>
        </is>
      </c>
      <c r="E3014" t="inlineStr">
        <is>
          <t>TANUM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11857-2020</t>
        </is>
      </c>
      <c r="B3015" s="1" t="n">
        <v>43887</v>
      </c>
      <c r="C3015" s="1" t="n">
        <v>45586</v>
      </c>
      <c r="D3015" t="inlineStr">
        <is>
          <t>VÄSTRA GÖTALANDS LÄN</t>
        </is>
      </c>
      <c r="E3015" t="inlineStr">
        <is>
          <t>TANUM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10826-2020</t>
        </is>
      </c>
      <c r="B3016" s="1" t="n">
        <v>43888</v>
      </c>
      <c r="C3016" s="1" t="n">
        <v>45586</v>
      </c>
      <c r="D3016" t="inlineStr">
        <is>
          <t>VÄSTRA GÖTALANDS LÄN</t>
        </is>
      </c>
      <c r="E3016" t="inlineStr">
        <is>
          <t>HJO</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11605-2020</t>
        </is>
      </c>
      <c r="B3017" s="1" t="n">
        <v>43888</v>
      </c>
      <c r="C3017" s="1" t="n">
        <v>45586</v>
      </c>
      <c r="D3017" t="inlineStr">
        <is>
          <t>VÄSTRA GÖTALANDS LÄN</t>
        </is>
      </c>
      <c r="E3017" t="inlineStr">
        <is>
          <t>TIDAHOLM</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10903-2020</t>
        </is>
      </c>
      <c r="B3018" s="1" t="n">
        <v>43889</v>
      </c>
      <c r="C3018" s="1" t="n">
        <v>45586</v>
      </c>
      <c r="D3018" t="inlineStr">
        <is>
          <t>VÄSTRA GÖTALANDS LÄN</t>
        </is>
      </c>
      <c r="E3018" t="inlineStr">
        <is>
          <t>FALKÖPING</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11080-2020</t>
        </is>
      </c>
      <c r="B3019" s="1" t="n">
        <v>43889</v>
      </c>
      <c r="C3019" s="1" t="n">
        <v>45586</v>
      </c>
      <c r="D3019" t="inlineStr">
        <is>
          <t>VÄSTRA GÖTALANDS LÄN</t>
        </is>
      </c>
      <c r="E3019" t="inlineStr">
        <is>
          <t>DALS-ED</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10915-2020</t>
        </is>
      </c>
      <c r="B3020" s="1" t="n">
        <v>43889</v>
      </c>
      <c r="C3020" s="1" t="n">
        <v>45586</v>
      </c>
      <c r="D3020" t="inlineStr">
        <is>
          <t>VÄSTRA GÖTALANDS LÄN</t>
        </is>
      </c>
      <c r="E3020" t="inlineStr">
        <is>
          <t>MELLERUD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11091-2020</t>
        </is>
      </c>
      <c r="B3021" s="1" t="n">
        <v>43889</v>
      </c>
      <c r="C3021" s="1" t="n">
        <v>45586</v>
      </c>
      <c r="D3021" t="inlineStr">
        <is>
          <t>VÄSTRA GÖTALANDS LÄN</t>
        </is>
      </c>
      <c r="E3021" t="inlineStr">
        <is>
          <t>DALS-ED</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11109-2020</t>
        </is>
      </c>
      <c r="B3022" s="1" t="n">
        <v>43889</v>
      </c>
      <c r="C3022" s="1" t="n">
        <v>45586</v>
      </c>
      <c r="D3022" t="inlineStr">
        <is>
          <t>VÄSTRA GÖTALANDS LÄN</t>
        </is>
      </c>
      <c r="E3022" t="inlineStr">
        <is>
          <t>TANUM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11139-2020</t>
        </is>
      </c>
      <c r="B3023" s="1" t="n">
        <v>43890</v>
      </c>
      <c r="C3023" s="1" t="n">
        <v>45586</v>
      </c>
      <c r="D3023" t="inlineStr">
        <is>
          <t>VÄSTRA GÖTALANDS LÄN</t>
        </is>
      </c>
      <c r="E3023" t="inlineStr">
        <is>
          <t>FALKÖPING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11156-2020</t>
        </is>
      </c>
      <c r="B3024" s="1" t="n">
        <v>43891</v>
      </c>
      <c r="C3024" s="1" t="n">
        <v>45586</v>
      </c>
      <c r="D3024" t="inlineStr">
        <is>
          <t>VÄSTRA GÖTALANDS LÄN</t>
        </is>
      </c>
      <c r="E3024" t="inlineStr">
        <is>
          <t>TANUM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11319-2020</t>
        </is>
      </c>
      <c r="B3025" s="1" t="n">
        <v>43892</v>
      </c>
      <c r="C3025" s="1" t="n">
        <v>45586</v>
      </c>
      <c r="D3025" t="inlineStr">
        <is>
          <t>VÄSTRA GÖTALANDS LÄN</t>
        </is>
      </c>
      <c r="E3025" t="inlineStr">
        <is>
          <t>UDDEVALLA</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11230-2020</t>
        </is>
      </c>
      <c r="B3026" s="1" t="n">
        <v>43892</v>
      </c>
      <c r="C3026" s="1" t="n">
        <v>45586</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11351-2020</t>
        </is>
      </c>
      <c r="B3027" s="1" t="n">
        <v>43892</v>
      </c>
      <c r="C3027" s="1" t="n">
        <v>45586</v>
      </c>
      <c r="D3027" t="inlineStr">
        <is>
          <t>VÄSTRA GÖTALANDS LÄN</t>
        </is>
      </c>
      <c r="E3027" t="inlineStr">
        <is>
          <t>LIDKÖPING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11208-2020</t>
        </is>
      </c>
      <c r="B3028" s="1" t="n">
        <v>43892</v>
      </c>
      <c r="C3028" s="1" t="n">
        <v>45586</v>
      </c>
      <c r="D3028" t="inlineStr">
        <is>
          <t>VÄSTRA GÖTALANDS LÄN</t>
        </is>
      </c>
      <c r="E3028" t="inlineStr">
        <is>
          <t>BENGTSFORS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11265-2020</t>
        </is>
      </c>
      <c r="B3029" s="1" t="n">
        <v>43892</v>
      </c>
      <c r="C3029" s="1" t="n">
        <v>45586</v>
      </c>
      <c r="D3029" t="inlineStr">
        <is>
          <t>VÄSTRA GÖTALANDS LÄN</t>
        </is>
      </c>
      <c r="E3029" t="inlineStr">
        <is>
          <t>SVENLJUNGA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11302-2020</t>
        </is>
      </c>
      <c r="B3030" s="1" t="n">
        <v>43892</v>
      </c>
      <c r="C3030" s="1" t="n">
        <v>45586</v>
      </c>
      <c r="D3030" t="inlineStr">
        <is>
          <t>VÄSTRA GÖTALANDS LÄN</t>
        </is>
      </c>
      <c r="E3030" t="inlineStr">
        <is>
          <t>VÅRGÅRDA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11309-2020</t>
        </is>
      </c>
      <c r="B3031" s="1" t="n">
        <v>43892</v>
      </c>
      <c r="C3031" s="1" t="n">
        <v>45586</v>
      </c>
      <c r="D3031" t="inlineStr">
        <is>
          <t>VÄSTRA GÖTALANDS LÄN</t>
        </is>
      </c>
      <c r="E3031" t="inlineStr">
        <is>
          <t>ALINGSÅS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11315-2020</t>
        </is>
      </c>
      <c r="B3032" s="1" t="n">
        <v>43892</v>
      </c>
      <c r="C3032" s="1" t="n">
        <v>45586</v>
      </c>
      <c r="D3032" t="inlineStr">
        <is>
          <t>VÄSTRA GÖTALANDS LÄN</t>
        </is>
      </c>
      <c r="E3032" t="inlineStr">
        <is>
          <t>LILLA EDET</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11335-2020</t>
        </is>
      </c>
      <c r="B3033" s="1" t="n">
        <v>43892</v>
      </c>
      <c r="C3033" s="1" t="n">
        <v>45586</v>
      </c>
      <c r="D3033" t="inlineStr">
        <is>
          <t>VÄSTRA GÖTALANDS LÄN</t>
        </is>
      </c>
      <c r="E3033" t="inlineStr">
        <is>
          <t>VÅRGÅRDA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11388-2020</t>
        </is>
      </c>
      <c r="B3034" s="1" t="n">
        <v>43892</v>
      </c>
      <c r="C3034" s="1" t="n">
        <v>45586</v>
      </c>
      <c r="D3034" t="inlineStr">
        <is>
          <t>VÄSTRA GÖTALANDS LÄN</t>
        </is>
      </c>
      <c r="E3034" t="inlineStr">
        <is>
          <t>ULRICEHAMN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11227-2020</t>
        </is>
      </c>
      <c r="B3035" s="1" t="n">
        <v>43892</v>
      </c>
      <c r="C3035" s="1" t="n">
        <v>45586</v>
      </c>
      <c r="D3035" t="inlineStr">
        <is>
          <t>VÄSTRA GÖTALANDS LÄN</t>
        </is>
      </c>
      <c r="E3035" t="inlineStr">
        <is>
          <t>BENGTSFORS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11306-2020</t>
        </is>
      </c>
      <c r="B3036" s="1" t="n">
        <v>43892</v>
      </c>
      <c r="C3036" s="1" t="n">
        <v>45586</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11554-2020</t>
        </is>
      </c>
      <c r="B3037" s="1" t="n">
        <v>43893</v>
      </c>
      <c r="C3037" s="1" t="n">
        <v>45586</v>
      </c>
      <c r="D3037" t="inlineStr">
        <is>
          <t>VÄSTRA GÖTALANDS LÄN</t>
        </is>
      </c>
      <c r="E3037" t="inlineStr">
        <is>
          <t>HJO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11443-2020</t>
        </is>
      </c>
      <c r="B3038" s="1" t="n">
        <v>43893</v>
      </c>
      <c r="C3038" s="1" t="n">
        <v>45586</v>
      </c>
      <c r="D3038" t="inlineStr">
        <is>
          <t>VÄSTRA GÖTALANDS LÄN</t>
        </is>
      </c>
      <c r="E3038" t="inlineStr">
        <is>
          <t>MARK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11479-2020</t>
        </is>
      </c>
      <c r="B3039" s="1" t="n">
        <v>43893</v>
      </c>
      <c r="C3039" s="1" t="n">
        <v>45586</v>
      </c>
      <c r="D3039" t="inlineStr">
        <is>
          <t>VÄSTRA GÖTALANDS LÄN</t>
        </is>
      </c>
      <c r="E3039" t="inlineStr">
        <is>
          <t>MARK</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11556-2020</t>
        </is>
      </c>
      <c r="B3040" s="1" t="n">
        <v>43893</v>
      </c>
      <c r="C3040" s="1" t="n">
        <v>45586</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11493-2020</t>
        </is>
      </c>
      <c r="B3041" s="1" t="n">
        <v>43893</v>
      </c>
      <c r="C3041" s="1" t="n">
        <v>45586</v>
      </c>
      <c r="D3041" t="inlineStr">
        <is>
          <t>VÄSTRA GÖTALANDS LÄN</t>
        </is>
      </c>
      <c r="E3041" t="inlineStr">
        <is>
          <t>TÖREBODA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11525-2020</t>
        </is>
      </c>
      <c r="B3042" s="1" t="n">
        <v>43893</v>
      </c>
      <c r="C3042" s="1" t="n">
        <v>45586</v>
      </c>
      <c r="D3042" t="inlineStr">
        <is>
          <t>VÄSTRA GÖTALANDS LÄN</t>
        </is>
      </c>
      <c r="E3042" t="inlineStr">
        <is>
          <t>TÖREBODA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11579-2020</t>
        </is>
      </c>
      <c r="B3043" s="1" t="n">
        <v>43893</v>
      </c>
      <c r="C3043" s="1" t="n">
        <v>45586</v>
      </c>
      <c r="D3043" t="inlineStr">
        <is>
          <t>VÄSTRA GÖTALANDS LÄN</t>
        </is>
      </c>
      <c r="E3043" t="inlineStr">
        <is>
          <t>ULRICEHAMN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11565-2020</t>
        </is>
      </c>
      <c r="B3044" s="1" t="n">
        <v>43893</v>
      </c>
      <c r="C3044" s="1" t="n">
        <v>45586</v>
      </c>
      <c r="D3044" t="inlineStr">
        <is>
          <t>VÄSTRA GÖTALANDS LÄN</t>
        </is>
      </c>
      <c r="E3044" t="inlineStr">
        <is>
          <t>ULRICEHAMN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11632-2020</t>
        </is>
      </c>
      <c r="B3045" s="1" t="n">
        <v>43893</v>
      </c>
      <c r="C3045" s="1" t="n">
        <v>45586</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11586-2020</t>
        </is>
      </c>
      <c r="B3046" s="1" t="n">
        <v>43893</v>
      </c>
      <c r="C3046" s="1" t="n">
        <v>45586</v>
      </c>
      <c r="D3046" t="inlineStr">
        <is>
          <t>VÄSTRA GÖTALANDS LÄN</t>
        </is>
      </c>
      <c r="E3046" t="inlineStr">
        <is>
          <t>MARK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11643-2020</t>
        </is>
      </c>
      <c r="B3047" s="1" t="n">
        <v>43893</v>
      </c>
      <c r="C3047" s="1" t="n">
        <v>45586</v>
      </c>
      <c r="D3047" t="inlineStr">
        <is>
          <t>VÄSTRA GÖTALANDS LÄN</t>
        </is>
      </c>
      <c r="E3047" t="inlineStr">
        <is>
          <t>VARA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12810-2020</t>
        </is>
      </c>
      <c r="B3048" s="1" t="n">
        <v>43893</v>
      </c>
      <c r="C3048" s="1" t="n">
        <v>45586</v>
      </c>
      <c r="D3048" t="inlineStr">
        <is>
          <t>VÄSTRA GÖTALANDS LÄN</t>
        </is>
      </c>
      <c r="E3048" t="inlineStr">
        <is>
          <t>TANUM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11713-2020</t>
        </is>
      </c>
      <c r="B3049" s="1" t="n">
        <v>43894</v>
      </c>
      <c r="C3049" s="1" t="n">
        <v>45586</v>
      </c>
      <c r="D3049" t="inlineStr">
        <is>
          <t>VÄSTRA GÖTALANDS LÄN</t>
        </is>
      </c>
      <c r="E3049" t="inlineStr">
        <is>
          <t>BENGTSFORS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11831-2020</t>
        </is>
      </c>
      <c r="B3050" s="1" t="n">
        <v>43894</v>
      </c>
      <c r="C3050" s="1" t="n">
        <v>45586</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11877-2020</t>
        </is>
      </c>
      <c r="B3051" s="1" t="n">
        <v>43894</v>
      </c>
      <c r="C3051" s="1" t="n">
        <v>45586</v>
      </c>
      <c r="D3051" t="inlineStr">
        <is>
          <t>VÄSTRA GÖTALANDS LÄN</t>
        </is>
      </c>
      <c r="E3051" t="inlineStr">
        <is>
          <t>GÖTENE</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11724-2020</t>
        </is>
      </c>
      <c r="B3052" s="1" t="n">
        <v>43894</v>
      </c>
      <c r="C3052" s="1" t="n">
        <v>45586</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11732-2020</t>
        </is>
      </c>
      <c r="B3053" s="1" t="n">
        <v>43894</v>
      </c>
      <c r="C3053" s="1" t="n">
        <v>45586</v>
      </c>
      <c r="D3053" t="inlineStr">
        <is>
          <t>VÄSTRA GÖTALANDS LÄN</t>
        </is>
      </c>
      <c r="E3053" t="inlineStr">
        <is>
          <t>SVENLJUNGA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11852-2020</t>
        </is>
      </c>
      <c r="B3054" s="1" t="n">
        <v>43894</v>
      </c>
      <c r="C3054" s="1" t="n">
        <v>45586</v>
      </c>
      <c r="D3054" t="inlineStr">
        <is>
          <t>VÄSTRA GÖTALANDS LÄN</t>
        </is>
      </c>
      <c r="E3054" t="inlineStr">
        <is>
          <t>TIDAHOLM</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12010-2020</t>
        </is>
      </c>
      <c r="B3055" s="1" t="n">
        <v>43894</v>
      </c>
      <c r="C3055" s="1" t="n">
        <v>45586</v>
      </c>
      <c r="D3055" t="inlineStr">
        <is>
          <t>VÄSTRA GÖTALANDS LÄN</t>
        </is>
      </c>
      <c r="E3055" t="inlineStr">
        <is>
          <t>BENGTSFORS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12013-2020</t>
        </is>
      </c>
      <c r="B3056" s="1" t="n">
        <v>43894</v>
      </c>
      <c r="C3056" s="1" t="n">
        <v>45586</v>
      </c>
      <c r="D3056" t="inlineStr">
        <is>
          <t>VÄSTRA GÖTALANDS LÄN</t>
        </is>
      </c>
      <c r="E3056" t="inlineStr">
        <is>
          <t>ÅMÅL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12052-2020</t>
        </is>
      </c>
      <c r="B3057" s="1" t="n">
        <v>43894</v>
      </c>
      <c r="C3057" s="1" t="n">
        <v>45586</v>
      </c>
      <c r="D3057" t="inlineStr">
        <is>
          <t>VÄSTRA GÖTALANDS LÄN</t>
        </is>
      </c>
      <c r="E3057" t="inlineStr">
        <is>
          <t>TÖREBODA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11981-2020</t>
        </is>
      </c>
      <c r="B3058" s="1" t="n">
        <v>43894</v>
      </c>
      <c r="C3058" s="1" t="n">
        <v>45586</v>
      </c>
      <c r="D3058" t="inlineStr">
        <is>
          <t>VÄSTRA GÖTALANDS LÄN</t>
        </is>
      </c>
      <c r="E3058" t="inlineStr">
        <is>
          <t>TRANEMO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11869-2020</t>
        </is>
      </c>
      <c r="B3059" s="1" t="n">
        <v>43894</v>
      </c>
      <c r="C3059" s="1" t="n">
        <v>45586</v>
      </c>
      <c r="D3059" t="inlineStr">
        <is>
          <t>VÄSTRA GÖTALANDS LÄN</t>
        </is>
      </c>
      <c r="E3059" t="inlineStr">
        <is>
          <t>FALKÖPING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12787-2020</t>
        </is>
      </c>
      <c r="B3060" s="1" t="n">
        <v>43894</v>
      </c>
      <c r="C3060" s="1" t="n">
        <v>45586</v>
      </c>
      <c r="D3060" t="inlineStr">
        <is>
          <t>VÄSTRA GÖTALANDS LÄN</t>
        </is>
      </c>
      <c r="E3060" t="inlineStr">
        <is>
          <t>UDDEVALLA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11864-2020</t>
        </is>
      </c>
      <c r="B3061" s="1" t="n">
        <v>43894</v>
      </c>
      <c r="C3061" s="1" t="n">
        <v>45586</v>
      </c>
      <c r="D3061" t="inlineStr">
        <is>
          <t>VÄSTRA GÖTALANDS LÄN</t>
        </is>
      </c>
      <c r="E3061" t="inlineStr">
        <is>
          <t>LYSEKIL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13421-2020</t>
        </is>
      </c>
      <c r="B3062" s="1" t="n">
        <v>43894</v>
      </c>
      <c r="C3062" s="1" t="n">
        <v>45586</v>
      </c>
      <c r="D3062" t="inlineStr">
        <is>
          <t>VÄSTRA GÖTALANDS LÄN</t>
        </is>
      </c>
      <c r="E3062" t="inlineStr">
        <is>
          <t>DALS-ED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13490-2020</t>
        </is>
      </c>
      <c r="B3063" s="1" t="n">
        <v>43894</v>
      </c>
      <c r="C3063" s="1" t="n">
        <v>45586</v>
      </c>
      <c r="D3063" t="inlineStr">
        <is>
          <t>VÄSTRA GÖTALANDS LÄN</t>
        </is>
      </c>
      <c r="E3063" t="inlineStr">
        <is>
          <t>GRÄSTORP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12263-2020</t>
        </is>
      </c>
      <c r="B3064" s="1" t="n">
        <v>43895</v>
      </c>
      <c r="C3064" s="1" t="n">
        <v>45586</v>
      </c>
      <c r="D3064" t="inlineStr">
        <is>
          <t>VÄSTRA GÖTALANDS LÄN</t>
        </is>
      </c>
      <c r="E3064" t="inlineStr">
        <is>
          <t>MUNKEDAL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12259-2020</t>
        </is>
      </c>
      <c r="B3065" s="1" t="n">
        <v>43895</v>
      </c>
      <c r="C3065" s="1" t="n">
        <v>45586</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12073-2020</t>
        </is>
      </c>
      <c r="B3066" s="1" t="n">
        <v>43895</v>
      </c>
      <c r="C3066" s="1" t="n">
        <v>45586</v>
      </c>
      <c r="D3066" t="inlineStr">
        <is>
          <t>VÄSTRA GÖTALANDS LÄN</t>
        </is>
      </c>
      <c r="E3066" t="inlineStr">
        <is>
          <t>SKARA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12183-2020</t>
        </is>
      </c>
      <c r="B3067" s="1" t="n">
        <v>43895</v>
      </c>
      <c r="C3067" s="1" t="n">
        <v>45586</v>
      </c>
      <c r="D3067" t="inlineStr">
        <is>
          <t>VÄSTRA GÖTALANDS LÄN</t>
        </is>
      </c>
      <c r="E3067" t="inlineStr">
        <is>
          <t>ALINGSÅS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13736-2020</t>
        </is>
      </c>
      <c r="B3068" s="1" t="n">
        <v>43896</v>
      </c>
      <c r="C3068" s="1" t="n">
        <v>45586</v>
      </c>
      <c r="D3068" t="inlineStr">
        <is>
          <t>VÄSTRA GÖTALANDS LÄN</t>
        </is>
      </c>
      <c r="E3068" t="inlineStr">
        <is>
          <t>MUNKEDAL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12477-2020</t>
        </is>
      </c>
      <c r="B3069" s="1" t="n">
        <v>43896</v>
      </c>
      <c r="C3069" s="1" t="n">
        <v>45586</v>
      </c>
      <c r="D3069" t="inlineStr">
        <is>
          <t>VÄSTRA GÖTALANDS LÄN</t>
        </is>
      </c>
      <c r="E3069" t="inlineStr">
        <is>
          <t>MUNKEDAL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13752-2020</t>
        </is>
      </c>
      <c r="B3070" s="1" t="n">
        <v>43896</v>
      </c>
      <c r="C3070" s="1" t="n">
        <v>45586</v>
      </c>
      <c r="D3070" t="inlineStr">
        <is>
          <t>VÄSTRA GÖTALANDS LÄN</t>
        </is>
      </c>
      <c r="E3070" t="inlineStr">
        <is>
          <t>MUNKEDAL</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13755-2020</t>
        </is>
      </c>
      <c r="B3071" s="1" t="n">
        <v>43896</v>
      </c>
      <c r="C3071" s="1" t="n">
        <v>45586</v>
      </c>
      <c r="D3071" t="inlineStr">
        <is>
          <t>VÄSTRA GÖTALANDS LÄN</t>
        </is>
      </c>
      <c r="E3071" t="inlineStr">
        <is>
          <t>MUNKEDAL</t>
        </is>
      </c>
      <c r="G3071" t="n">
        <v>37.8</v>
      </c>
      <c r="H3071" t="n">
        <v>0</v>
      </c>
      <c r="I3071" t="n">
        <v>0</v>
      </c>
      <c r="J3071" t="n">
        <v>0</v>
      </c>
      <c r="K3071" t="n">
        <v>0</v>
      </c>
      <c r="L3071" t="n">
        <v>0</v>
      </c>
      <c r="M3071" t="n">
        <v>0</v>
      </c>
      <c r="N3071" t="n">
        <v>0</v>
      </c>
      <c r="O3071" t="n">
        <v>0</v>
      </c>
      <c r="P3071" t="n">
        <v>0</v>
      </c>
      <c r="Q3071" t="n">
        <v>0</v>
      </c>
      <c r="R3071" s="2" t="inlineStr"/>
    </row>
    <row r="3072" ht="15" customHeight="1">
      <c r="A3072" t="inlineStr">
        <is>
          <t>A 13751-2020</t>
        </is>
      </c>
      <c r="B3072" s="1" t="n">
        <v>43896</v>
      </c>
      <c r="C3072" s="1" t="n">
        <v>45586</v>
      </c>
      <c r="D3072" t="inlineStr">
        <is>
          <t>VÄSTRA GÖTALANDS LÄN</t>
        </is>
      </c>
      <c r="E3072" t="inlineStr">
        <is>
          <t>MUNKEDAL</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12554-2020</t>
        </is>
      </c>
      <c r="B3073" s="1" t="n">
        <v>43898</v>
      </c>
      <c r="C3073" s="1" t="n">
        <v>45586</v>
      </c>
      <c r="D3073" t="inlineStr">
        <is>
          <t>VÄSTRA GÖTALANDS LÄN</t>
        </is>
      </c>
      <c r="E3073" t="inlineStr">
        <is>
          <t>BORÅS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12583-2020</t>
        </is>
      </c>
      <c r="B3074" s="1" t="n">
        <v>43899</v>
      </c>
      <c r="C3074" s="1" t="n">
        <v>45586</v>
      </c>
      <c r="D3074" t="inlineStr">
        <is>
          <t>VÄSTRA GÖTALANDS LÄN</t>
        </is>
      </c>
      <c r="E3074" t="inlineStr">
        <is>
          <t>TIDAHOLM</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12697-2020</t>
        </is>
      </c>
      <c r="B3075" s="1" t="n">
        <v>43899</v>
      </c>
      <c r="C3075" s="1" t="n">
        <v>45586</v>
      </c>
      <c r="D3075" t="inlineStr">
        <is>
          <t>VÄSTRA GÖTALANDS LÄN</t>
        </is>
      </c>
      <c r="E3075" t="inlineStr">
        <is>
          <t>LIDKÖPING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12582-2020</t>
        </is>
      </c>
      <c r="B3076" s="1" t="n">
        <v>43899</v>
      </c>
      <c r="C3076" s="1" t="n">
        <v>45586</v>
      </c>
      <c r="D3076" t="inlineStr">
        <is>
          <t>VÄSTRA GÖTALANDS LÄN</t>
        </is>
      </c>
      <c r="E3076" t="inlineStr">
        <is>
          <t>DALS-ED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12646-2020</t>
        </is>
      </c>
      <c r="B3077" s="1" t="n">
        <v>43899</v>
      </c>
      <c r="C3077" s="1" t="n">
        <v>45586</v>
      </c>
      <c r="D3077" t="inlineStr">
        <is>
          <t>VÄSTRA GÖTALANDS LÄN</t>
        </is>
      </c>
      <c r="E3077" t="inlineStr">
        <is>
          <t>ULRICEHAMN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12693-2020</t>
        </is>
      </c>
      <c r="B3078" s="1" t="n">
        <v>43899</v>
      </c>
      <c r="C3078" s="1" t="n">
        <v>45586</v>
      </c>
      <c r="D3078" t="inlineStr">
        <is>
          <t>VÄSTRA GÖTALANDS LÄN</t>
        </is>
      </c>
      <c r="E3078" t="inlineStr">
        <is>
          <t>LIDKÖPING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12586-2020</t>
        </is>
      </c>
      <c r="B3079" s="1" t="n">
        <v>43899</v>
      </c>
      <c r="C3079" s="1" t="n">
        <v>45586</v>
      </c>
      <c r="D3079" t="inlineStr">
        <is>
          <t>VÄSTRA GÖTALANDS LÄN</t>
        </is>
      </c>
      <c r="E3079" t="inlineStr">
        <is>
          <t>DALS-ED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12597-2020</t>
        </is>
      </c>
      <c r="B3080" s="1" t="n">
        <v>43899</v>
      </c>
      <c r="C3080" s="1" t="n">
        <v>45586</v>
      </c>
      <c r="D3080" t="inlineStr">
        <is>
          <t>VÄSTRA GÖTALANDS LÄN</t>
        </is>
      </c>
      <c r="E3080" t="inlineStr">
        <is>
          <t>LIDKÖPING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12638-2020</t>
        </is>
      </c>
      <c r="B3081" s="1" t="n">
        <v>43899</v>
      </c>
      <c r="C3081" s="1" t="n">
        <v>45586</v>
      </c>
      <c r="D3081" t="inlineStr">
        <is>
          <t>VÄSTRA GÖTALANDS LÄN</t>
        </is>
      </c>
      <c r="E3081" t="inlineStr">
        <is>
          <t>ULRICEHAMN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12790-2020</t>
        </is>
      </c>
      <c r="B3082" s="1" t="n">
        <v>43899</v>
      </c>
      <c r="C3082" s="1" t="n">
        <v>45586</v>
      </c>
      <c r="D3082" t="inlineStr">
        <is>
          <t>VÄSTRA GÖTALANDS LÄN</t>
        </is>
      </c>
      <c r="E3082" t="inlineStr">
        <is>
          <t>ORUST</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12857-2020</t>
        </is>
      </c>
      <c r="B3083" s="1" t="n">
        <v>43899</v>
      </c>
      <c r="C3083" s="1" t="n">
        <v>45586</v>
      </c>
      <c r="D3083" t="inlineStr">
        <is>
          <t>VÄSTRA GÖTALANDS LÄN</t>
        </is>
      </c>
      <c r="E3083" t="inlineStr">
        <is>
          <t>BENGTSFORS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12865-2020</t>
        </is>
      </c>
      <c r="B3084" s="1" t="n">
        <v>43899</v>
      </c>
      <c r="C3084" s="1" t="n">
        <v>45586</v>
      </c>
      <c r="D3084" t="inlineStr">
        <is>
          <t>VÄSTRA GÖTALANDS LÄN</t>
        </is>
      </c>
      <c r="E3084" t="inlineStr">
        <is>
          <t>MUNKEDAL</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12872-2020</t>
        </is>
      </c>
      <c r="B3085" s="1" t="n">
        <v>43899</v>
      </c>
      <c r="C3085" s="1" t="n">
        <v>45586</v>
      </c>
      <c r="D3085" t="inlineStr">
        <is>
          <t>VÄSTRA GÖTALANDS LÄN</t>
        </is>
      </c>
      <c r="E3085" t="inlineStr">
        <is>
          <t>MUNKEDAL</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12840-2020</t>
        </is>
      </c>
      <c r="B3086" s="1" t="n">
        <v>43899</v>
      </c>
      <c r="C3086" s="1" t="n">
        <v>45586</v>
      </c>
      <c r="D3086" t="inlineStr">
        <is>
          <t>VÄSTRA GÖTALANDS LÄN</t>
        </is>
      </c>
      <c r="E3086" t="inlineStr">
        <is>
          <t>TRANEMO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12835-2020</t>
        </is>
      </c>
      <c r="B3087" s="1" t="n">
        <v>43899</v>
      </c>
      <c r="C3087" s="1" t="n">
        <v>45586</v>
      </c>
      <c r="D3087" t="inlineStr">
        <is>
          <t>VÄSTRA GÖTALANDS LÄN</t>
        </is>
      </c>
      <c r="E3087" t="inlineStr">
        <is>
          <t>BENGTSFORS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12860-2020</t>
        </is>
      </c>
      <c r="B3088" s="1" t="n">
        <v>43899</v>
      </c>
      <c r="C3088" s="1" t="n">
        <v>45586</v>
      </c>
      <c r="D3088" t="inlineStr">
        <is>
          <t>VÄSTRA GÖTALANDS LÄN</t>
        </is>
      </c>
      <c r="E3088" t="inlineStr">
        <is>
          <t>ULRICEHAMN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13993-2020</t>
        </is>
      </c>
      <c r="B3089" s="1" t="n">
        <v>43899</v>
      </c>
      <c r="C3089" s="1" t="n">
        <v>45586</v>
      </c>
      <c r="D3089" t="inlineStr">
        <is>
          <t>VÄSTRA GÖTALANDS LÄN</t>
        </is>
      </c>
      <c r="E3089" t="inlineStr">
        <is>
          <t>UDDEVALLA</t>
        </is>
      </c>
      <c r="F3089" t="inlineStr">
        <is>
          <t>Kyrkan</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12859-2020</t>
        </is>
      </c>
      <c r="B3090" s="1" t="n">
        <v>43899</v>
      </c>
      <c r="C3090" s="1" t="n">
        <v>45586</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14166-2020</t>
        </is>
      </c>
      <c r="B3091" s="1" t="n">
        <v>43899</v>
      </c>
      <c r="C3091" s="1" t="n">
        <v>45586</v>
      </c>
      <c r="D3091" t="inlineStr">
        <is>
          <t>VÄSTRA GÖTALANDS LÄN</t>
        </is>
      </c>
      <c r="E3091" t="inlineStr">
        <is>
          <t>BENGTSFORS</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14486-2020</t>
        </is>
      </c>
      <c r="B3092" s="1" t="n">
        <v>43900</v>
      </c>
      <c r="C3092" s="1" t="n">
        <v>45586</v>
      </c>
      <c r="D3092" t="inlineStr">
        <is>
          <t>VÄSTRA GÖTALANDS LÄN</t>
        </is>
      </c>
      <c r="E3092" t="inlineStr">
        <is>
          <t>TANUM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14489-2020</t>
        </is>
      </c>
      <c r="B3093" s="1" t="n">
        <v>43900</v>
      </c>
      <c r="C3093" s="1" t="n">
        <v>45586</v>
      </c>
      <c r="D3093" t="inlineStr">
        <is>
          <t>VÄSTRA GÖTALANDS LÄN</t>
        </is>
      </c>
      <c r="E3093" t="inlineStr">
        <is>
          <t>TANUM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13000-2020</t>
        </is>
      </c>
      <c r="B3094" s="1" t="n">
        <v>43900</v>
      </c>
      <c r="C3094" s="1" t="n">
        <v>45586</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12880-2020</t>
        </is>
      </c>
      <c r="B3095" s="1" t="n">
        <v>43900</v>
      </c>
      <c r="C3095" s="1" t="n">
        <v>45586</v>
      </c>
      <c r="D3095" t="inlineStr">
        <is>
          <t>VÄSTRA GÖTALANDS LÄN</t>
        </is>
      </c>
      <c r="E3095" t="inlineStr">
        <is>
          <t>TÖREBODA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13316-2020</t>
        </is>
      </c>
      <c r="B3096" s="1" t="n">
        <v>43900</v>
      </c>
      <c r="C3096" s="1" t="n">
        <v>45586</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12932-2020</t>
        </is>
      </c>
      <c r="B3097" s="1" t="n">
        <v>43900</v>
      </c>
      <c r="C3097" s="1" t="n">
        <v>45586</v>
      </c>
      <c r="D3097" t="inlineStr">
        <is>
          <t>VÄSTRA GÖTALANDS LÄN</t>
        </is>
      </c>
      <c r="E3097" t="inlineStr">
        <is>
          <t>LILLA EDET</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13061-2020</t>
        </is>
      </c>
      <c r="B3098" s="1" t="n">
        <v>43900</v>
      </c>
      <c r="C3098" s="1" t="n">
        <v>45586</v>
      </c>
      <c r="D3098" t="inlineStr">
        <is>
          <t>VÄSTRA GÖTALANDS LÄN</t>
        </is>
      </c>
      <c r="E3098" t="inlineStr">
        <is>
          <t>BORÅS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13024-2020</t>
        </is>
      </c>
      <c r="B3099" s="1" t="n">
        <v>43900</v>
      </c>
      <c r="C3099" s="1" t="n">
        <v>45586</v>
      </c>
      <c r="D3099" t="inlineStr">
        <is>
          <t>VÄSTRA GÖTALANDS LÄN</t>
        </is>
      </c>
      <c r="E3099" t="inlineStr">
        <is>
          <t>ALINGSÅS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13020-2020</t>
        </is>
      </c>
      <c r="B3100" s="1" t="n">
        <v>43900</v>
      </c>
      <c r="C3100" s="1" t="n">
        <v>45586</v>
      </c>
      <c r="D3100" t="inlineStr">
        <is>
          <t>VÄSTRA GÖTALANDS LÄN</t>
        </is>
      </c>
      <c r="E3100" t="inlineStr">
        <is>
          <t>VÅRGÅRDA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12985-2020</t>
        </is>
      </c>
      <c r="B3101" s="1" t="n">
        <v>43900</v>
      </c>
      <c r="C3101" s="1" t="n">
        <v>45586</v>
      </c>
      <c r="D3101" t="inlineStr">
        <is>
          <t>VÄSTRA GÖTALANDS LÄN</t>
        </is>
      </c>
      <c r="E3101" t="inlineStr">
        <is>
          <t>GRÄSTORP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12966-2020</t>
        </is>
      </c>
      <c r="B3102" s="1" t="n">
        <v>43900</v>
      </c>
      <c r="C3102" s="1" t="n">
        <v>45586</v>
      </c>
      <c r="D3102" t="inlineStr">
        <is>
          <t>VÄSTRA GÖTALANDS LÄN</t>
        </is>
      </c>
      <c r="E3102" t="inlineStr">
        <is>
          <t>MARIESTAD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13055-2020</t>
        </is>
      </c>
      <c r="B3103" s="1" t="n">
        <v>43900</v>
      </c>
      <c r="C3103" s="1" t="n">
        <v>45586</v>
      </c>
      <c r="D3103" t="inlineStr">
        <is>
          <t>VÄSTRA GÖTALANDS LÄN</t>
        </is>
      </c>
      <c r="E3103" t="inlineStr">
        <is>
          <t>BENGTSFORS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13022-2020</t>
        </is>
      </c>
      <c r="B3104" s="1" t="n">
        <v>43900</v>
      </c>
      <c r="C3104" s="1" t="n">
        <v>45586</v>
      </c>
      <c r="D3104" t="inlineStr">
        <is>
          <t>VÄSTRA GÖTALANDS LÄN</t>
        </is>
      </c>
      <c r="E3104" t="inlineStr">
        <is>
          <t>SVENLJUNGA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13016-2020</t>
        </is>
      </c>
      <c r="B3105" s="1" t="n">
        <v>43900</v>
      </c>
      <c r="C3105" s="1" t="n">
        <v>45586</v>
      </c>
      <c r="D3105" t="inlineStr">
        <is>
          <t>VÄSTRA GÖTALANDS LÄN</t>
        </is>
      </c>
      <c r="E3105" t="inlineStr">
        <is>
          <t>VÅRGÅRDA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13004-2020</t>
        </is>
      </c>
      <c r="B3106" s="1" t="n">
        <v>43900</v>
      </c>
      <c r="C3106" s="1" t="n">
        <v>45586</v>
      </c>
      <c r="D3106" t="inlineStr">
        <is>
          <t>VÄSTRA GÖTALANDS LÄN</t>
        </is>
      </c>
      <c r="E3106" t="inlineStr">
        <is>
          <t>GRÄSTORP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12993-2020</t>
        </is>
      </c>
      <c r="B3107" s="1" t="n">
        <v>43900</v>
      </c>
      <c r="C3107" s="1" t="n">
        <v>45586</v>
      </c>
      <c r="D3107" t="inlineStr">
        <is>
          <t>VÄSTRA GÖTALANDS LÄN</t>
        </is>
      </c>
      <c r="E3107" t="inlineStr">
        <is>
          <t>BENGTSFORS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13009-2020</t>
        </is>
      </c>
      <c r="B3108" s="1" t="n">
        <v>43900</v>
      </c>
      <c r="C3108" s="1" t="n">
        <v>45586</v>
      </c>
      <c r="D3108" t="inlineStr">
        <is>
          <t>VÄSTRA GÖTALANDS LÄN</t>
        </is>
      </c>
      <c r="E3108" t="inlineStr">
        <is>
          <t>TIBRO</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12973-2020</t>
        </is>
      </c>
      <c r="B3109" s="1" t="n">
        <v>43900</v>
      </c>
      <c r="C3109" s="1" t="n">
        <v>45586</v>
      </c>
      <c r="D3109" t="inlineStr">
        <is>
          <t>VÄSTRA GÖTALANDS LÄN</t>
        </is>
      </c>
      <c r="E3109" t="inlineStr">
        <is>
          <t>SKÖVDE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12994-2020</t>
        </is>
      </c>
      <c r="B3110" s="1" t="n">
        <v>43900</v>
      </c>
      <c r="C3110" s="1" t="n">
        <v>45586</v>
      </c>
      <c r="D3110" t="inlineStr">
        <is>
          <t>VÄSTRA GÖTALANDS LÄN</t>
        </is>
      </c>
      <c r="E3110" t="inlineStr">
        <is>
          <t>GRÄSTORP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14123-2020</t>
        </is>
      </c>
      <c r="B3111" s="1" t="n">
        <v>43900</v>
      </c>
      <c r="C3111" s="1" t="n">
        <v>45586</v>
      </c>
      <c r="D3111" t="inlineStr">
        <is>
          <t>VÄSTRA GÖTALANDS LÄN</t>
        </is>
      </c>
      <c r="E3111" t="inlineStr">
        <is>
          <t>TANUM</t>
        </is>
      </c>
      <c r="F3111" t="inlineStr">
        <is>
          <t>Kyrkan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12981-2020</t>
        </is>
      </c>
      <c r="B3112" s="1" t="n">
        <v>43900</v>
      </c>
      <c r="C3112" s="1" t="n">
        <v>45586</v>
      </c>
      <c r="D3112" t="inlineStr">
        <is>
          <t>VÄSTRA GÖTALANDS LÄN</t>
        </is>
      </c>
      <c r="E3112" t="inlineStr">
        <is>
          <t>GULLSPÅNG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12956-2020</t>
        </is>
      </c>
      <c r="B3113" s="1" t="n">
        <v>43900</v>
      </c>
      <c r="C3113" s="1" t="n">
        <v>45586</v>
      </c>
      <c r="D3113" t="inlineStr">
        <is>
          <t>VÄSTRA GÖTALANDS LÄN</t>
        </is>
      </c>
      <c r="E3113" t="inlineStr">
        <is>
          <t>FALKÖPING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13159-2020</t>
        </is>
      </c>
      <c r="B3114" s="1" t="n">
        <v>43901</v>
      </c>
      <c r="C3114" s="1" t="n">
        <v>45586</v>
      </c>
      <c r="D3114" t="inlineStr">
        <is>
          <t>VÄSTRA GÖTALANDS LÄN</t>
        </is>
      </c>
      <c r="E3114" t="inlineStr">
        <is>
          <t>SKARA</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13205-2020</t>
        </is>
      </c>
      <c r="B3115" s="1" t="n">
        <v>43901</v>
      </c>
      <c r="C3115" s="1" t="n">
        <v>45586</v>
      </c>
      <c r="D3115" t="inlineStr">
        <is>
          <t>VÄSTRA GÖTALANDS LÄN</t>
        </is>
      </c>
      <c r="E3115" t="inlineStr">
        <is>
          <t>SKARA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13127-2020</t>
        </is>
      </c>
      <c r="B3116" s="1" t="n">
        <v>43901</v>
      </c>
      <c r="C3116" s="1" t="n">
        <v>45586</v>
      </c>
      <c r="D3116" t="inlineStr">
        <is>
          <t>VÄSTRA GÖTALANDS LÄN</t>
        </is>
      </c>
      <c r="E3116" t="inlineStr">
        <is>
          <t>DALS-ED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13136-2020</t>
        </is>
      </c>
      <c r="B3117" s="1" t="n">
        <v>43901</v>
      </c>
      <c r="C3117" s="1" t="n">
        <v>45586</v>
      </c>
      <c r="D3117" t="inlineStr">
        <is>
          <t>VÄSTRA GÖTALANDS LÄN</t>
        </is>
      </c>
      <c r="E3117" t="inlineStr">
        <is>
          <t>ULRICEHAMN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13134-2020</t>
        </is>
      </c>
      <c r="B3118" s="1" t="n">
        <v>43901</v>
      </c>
      <c r="C3118" s="1" t="n">
        <v>45586</v>
      </c>
      <c r="D3118" t="inlineStr">
        <is>
          <t>VÄSTRA GÖTALANDS LÄN</t>
        </is>
      </c>
      <c r="E3118" t="inlineStr">
        <is>
          <t>DALS-ED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13203-2020</t>
        </is>
      </c>
      <c r="B3119" s="1" t="n">
        <v>43901</v>
      </c>
      <c r="C3119" s="1" t="n">
        <v>45586</v>
      </c>
      <c r="D3119" t="inlineStr">
        <is>
          <t>VÄSTRA GÖTALANDS LÄN</t>
        </is>
      </c>
      <c r="E3119" t="inlineStr">
        <is>
          <t>ULRICEHAMN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13218-2020</t>
        </is>
      </c>
      <c r="B3120" s="1" t="n">
        <v>43901</v>
      </c>
      <c r="C3120" s="1" t="n">
        <v>45586</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13210-2020</t>
        </is>
      </c>
      <c r="B3121" s="1" t="n">
        <v>43901</v>
      </c>
      <c r="C3121" s="1" t="n">
        <v>45586</v>
      </c>
      <c r="D3121" t="inlineStr">
        <is>
          <t>VÄSTRA GÖTALANDS LÄN</t>
        </is>
      </c>
      <c r="E3121" t="inlineStr">
        <is>
          <t>ULRICEHAMN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13220-2020</t>
        </is>
      </c>
      <c r="B3122" s="1" t="n">
        <v>43901</v>
      </c>
      <c r="C3122" s="1" t="n">
        <v>45586</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14603-2020</t>
        </is>
      </c>
      <c r="B3123" s="1" t="n">
        <v>43901</v>
      </c>
      <c r="C3123" s="1" t="n">
        <v>45586</v>
      </c>
      <c r="D3123" t="inlineStr">
        <is>
          <t>VÄSTRA GÖTALANDS LÄN</t>
        </is>
      </c>
      <c r="E3123" t="inlineStr">
        <is>
          <t>DALS-ED</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13289-2020</t>
        </is>
      </c>
      <c r="B3124" s="1" t="n">
        <v>43901</v>
      </c>
      <c r="C3124" s="1" t="n">
        <v>45586</v>
      </c>
      <c r="D3124" t="inlineStr">
        <is>
          <t>VÄSTRA GÖTALANDS LÄN</t>
        </is>
      </c>
      <c r="E3124" t="inlineStr">
        <is>
          <t>BENGTSFORS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13392-2020</t>
        </is>
      </c>
      <c r="B3125" s="1" t="n">
        <v>43902</v>
      </c>
      <c r="C3125" s="1" t="n">
        <v>45586</v>
      </c>
      <c r="D3125" t="inlineStr">
        <is>
          <t>VÄSTRA GÖTALANDS LÄN</t>
        </is>
      </c>
      <c r="E3125" t="inlineStr">
        <is>
          <t>SVENLJUNGA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13432-2020</t>
        </is>
      </c>
      <c r="B3126" s="1" t="n">
        <v>43902</v>
      </c>
      <c r="C3126" s="1" t="n">
        <v>45586</v>
      </c>
      <c r="D3126" t="inlineStr">
        <is>
          <t>VÄSTRA GÖTALANDS LÄN</t>
        </is>
      </c>
      <c r="E3126" t="inlineStr">
        <is>
          <t>ALE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13482-2020</t>
        </is>
      </c>
      <c r="B3127" s="1" t="n">
        <v>43902</v>
      </c>
      <c r="C3127" s="1" t="n">
        <v>45586</v>
      </c>
      <c r="D3127" t="inlineStr">
        <is>
          <t>VÄSTRA GÖTALANDS LÄN</t>
        </is>
      </c>
      <c r="E3127" t="inlineStr">
        <is>
          <t>MARK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13343-2020</t>
        </is>
      </c>
      <c r="B3128" s="1" t="n">
        <v>43902</v>
      </c>
      <c r="C3128" s="1" t="n">
        <v>45586</v>
      </c>
      <c r="D3128" t="inlineStr">
        <is>
          <t>VÄSTRA GÖTALANDS LÄN</t>
        </is>
      </c>
      <c r="E3128" t="inlineStr">
        <is>
          <t>MARIESTAD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13397-2020</t>
        </is>
      </c>
      <c r="B3129" s="1" t="n">
        <v>43902</v>
      </c>
      <c r="C3129" s="1" t="n">
        <v>45586</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13327-2020</t>
        </is>
      </c>
      <c r="B3130" s="1" t="n">
        <v>43902</v>
      </c>
      <c r="C3130" s="1" t="n">
        <v>45586</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13478-2020</t>
        </is>
      </c>
      <c r="B3131" s="1" t="n">
        <v>43902</v>
      </c>
      <c r="C3131" s="1" t="n">
        <v>45586</v>
      </c>
      <c r="D3131" t="inlineStr">
        <is>
          <t>VÄSTRA GÖTALANDS LÄN</t>
        </is>
      </c>
      <c r="E3131" t="inlineStr">
        <is>
          <t>ULRICEHAMN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13536-2020</t>
        </is>
      </c>
      <c r="B3132" s="1" t="n">
        <v>43902</v>
      </c>
      <c r="C3132" s="1" t="n">
        <v>45586</v>
      </c>
      <c r="D3132" t="inlineStr">
        <is>
          <t>VÄSTRA GÖTALANDS LÄN</t>
        </is>
      </c>
      <c r="E3132" t="inlineStr">
        <is>
          <t>TIBRO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13521-2020</t>
        </is>
      </c>
      <c r="B3133" s="1" t="n">
        <v>43902</v>
      </c>
      <c r="C3133" s="1" t="n">
        <v>45586</v>
      </c>
      <c r="D3133" t="inlineStr">
        <is>
          <t>VÄSTRA GÖTALANDS LÄN</t>
        </is>
      </c>
      <c r="E3133" t="inlineStr">
        <is>
          <t>FÄRGELANDA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14745-2020</t>
        </is>
      </c>
      <c r="B3134" s="1" t="n">
        <v>43902</v>
      </c>
      <c r="C3134" s="1" t="n">
        <v>45586</v>
      </c>
      <c r="D3134" t="inlineStr">
        <is>
          <t>VÄSTRA GÖTALANDS LÄN</t>
        </is>
      </c>
      <c r="E3134" t="inlineStr">
        <is>
          <t>VARA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14529-2020</t>
        </is>
      </c>
      <c r="B3135" s="1" t="n">
        <v>43902</v>
      </c>
      <c r="C3135" s="1" t="n">
        <v>45586</v>
      </c>
      <c r="D3135" t="inlineStr">
        <is>
          <t>VÄSTRA GÖTALANDS LÄN</t>
        </is>
      </c>
      <c r="E3135" t="inlineStr">
        <is>
          <t>STRÖMSTAD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14666-2020</t>
        </is>
      </c>
      <c r="B3136" s="1" t="n">
        <v>43902</v>
      </c>
      <c r="C3136" s="1" t="n">
        <v>45586</v>
      </c>
      <c r="D3136" t="inlineStr">
        <is>
          <t>VÄSTRA GÖTALANDS LÄN</t>
        </is>
      </c>
      <c r="E3136" t="inlineStr">
        <is>
          <t>KARLSBORG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14748-2020</t>
        </is>
      </c>
      <c r="B3137" s="1" t="n">
        <v>43902</v>
      </c>
      <c r="C3137" s="1" t="n">
        <v>45586</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13589-2020</t>
        </is>
      </c>
      <c r="B3138" s="1" t="n">
        <v>43903</v>
      </c>
      <c r="C3138" s="1" t="n">
        <v>45586</v>
      </c>
      <c r="D3138" t="inlineStr">
        <is>
          <t>VÄSTRA GÖTALANDS LÄN</t>
        </is>
      </c>
      <c r="E3138" t="inlineStr">
        <is>
          <t>BENGTSFORS</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13652-2020</t>
        </is>
      </c>
      <c r="B3139" s="1" t="n">
        <v>43903</v>
      </c>
      <c r="C3139" s="1" t="n">
        <v>45586</v>
      </c>
      <c r="D3139" t="inlineStr">
        <is>
          <t>VÄSTRA GÖTALANDS LÄN</t>
        </is>
      </c>
      <c r="E3139" t="inlineStr">
        <is>
          <t>TIBRO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14690-2020</t>
        </is>
      </c>
      <c r="B3140" s="1" t="n">
        <v>43903</v>
      </c>
      <c r="C3140" s="1" t="n">
        <v>45586</v>
      </c>
      <c r="D3140" t="inlineStr">
        <is>
          <t>VÄSTRA GÖTALANDS LÄN</t>
        </is>
      </c>
      <c r="E3140" t="inlineStr">
        <is>
          <t>VARA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13938-2020</t>
        </is>
      </c>
      <c r="B3141" s="1" t="n">
        <v>43903</v>
      </c>
      <c r="C3141" s="1" t="n">
        <v>45586</v>
      </c>
      <c r="D3141" t="inlineStr">
        <is>
          <t>VÄSTRA GÖTALANDS LÄN</t>
        </is>
      </c>
      <c r="E3141" t="inlineStr">
        <is>
          <t>VARA</t>
        </is>
      </c>
      <c r="G3141" t="n">
        <v>17.1</v>
      </c>
      <c r="H3141" t="n">
        <v>0</v>
      </c>
      <c r="I3141" t="n">
        <v>0</v>
      </c>
      <c r="J3141" t="n">
        <v>0</v>
      </c>
      <c r="K3141" t="n">
        <v>0</v>
      </c>
      <c r="L3141" t="n">
        <v>0</v>
      </c>
      <c r="M3141" t="n">
        <v>0</v>
      </c>
      <c r="N3141" t="n">
        <v>0</v>
      </c>
      <c r="O3141" t="n">
        <v>0</v>
      </c>
      <c r="P3141" t="n">
        <v>0</v>
      </c>
      <c r="Q3141" t="n">
        <v>0</v>
      </c>
      <c r="R3141" s="2" t="inlineStr"/>
    </row>
    <row r="3142" ht="15" customHeight="1">
      <c r="A3142" t="inlineStr">
        <is>
          <t>A 13608-2020</t>
        </is>
      </c>
      <c r="B3142" s="1" t="n">
        <v>43903</v>
      </c>
      <c r="C3142" s="1" t="n">
        <v>45586</v>
      </c>
      <c r="D3142" t="inlineStr">
        <is>
          <t>VÄSTRA GÖTALANDS LÄN</t>
        </is>
      </c>
      <c r="E3142" t="inlineStr">
        <is>
          <t>SKÖVDE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13934-2020</t>
        </is>
      </c>
      <c r="B3143" s="1" t="n">
        <v>43903</v>
      </c>
      <c r="C3143" s="1" t="n">
        <v>45586</v>
      </c>
      <c r="D3143" t="inlineStr">
        <is>
          <t>VÄSTRA GÖTALANDS LÄN</t>
        </is>
      </c>
      <c r="E3143" t="inlineStr">
        <is>
          <t>ULRICEHAMN</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13641-2020</t>
        </is>
      </c>
      <c r="B3144" s="1" t="n">
        <v>43903</v>
      </c>
      <c r="C3144" s="1" t="n">
        <v>45586</v>
      </c>
      <c r="D3144" t="inlineStr">
        <is>
          <t>VÄSTRA GÖTALANDS LÄN</t>
        </is>
      </c>
      <c r="E3144" t="inlineStr">
        <is>
          <t>TANUM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13937-2020</t>
        </is>
      </c>
      <c r="B3145" s="1" t="n">
        <v>43903</v>
      </c>
      <c r="C3145" s="1" t="n">
        <v>45586</v>
      </c>
      <c r="D3145" t="inlineStr">
        <is>
          <t>VÄSTRA GÖTALANDS LÄN</t>
        </is>
      </c>
      <c r="E3145" t="inlineStr">
        <is>
          <t>VARA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13820-2020</t>
        </is>
      </c>
      <c r="B3146" s="1" t="n">
        <v>43905</v>
      </c>
      <c r="C3146" s="1" t="n">
        <v>45586</v>
      </c>
      <c r="D3146" t="inlineStr">
        <is>
          <t>VÄSTRA GÖTALANDS LÄN</t>
        </is>
      </c>
      <c r="E3146" t="inlineStr">
        <is>
          <t>BORÅS</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13873-2020</t>
        </is>
      </c>
      <c r="B3147" s="1" t="n">
        <v>43906</v>
      </c>
      <c r="C3147" s="1" t="n">
        <v>45586</v>
      </c>
      <c r="D3147" t="inlineStr">
        <is>
          <t>VÄSTRA GÖTALANDS LÄN</t>
        </is>
      </c>
      <c r="E3147" t="inlineStr">
        <is>
          <t>MARIESTAD</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13884-2020</t>
        </is>
      </c>
      <c r="B3148" s="1" t="n">
        <v>43906</v>
      </c>
      <c r="C3148" s="1" t="n">
        <v>45586</v>
      </c>
      <c r="D3148" t="inlineStr">
        <is>
          <t>VÄSTRA GÖTALANDS LÄN</t>
        </is>
      </c>
      <c r="E3148" t="inlineStr">
        <is>
          <t>VARA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13960-2020</t>
        </is>
      </c>
      <c r="B3149" s="1" t="n">
        <v>43906</v>
      </c>
      <c r="C3149" s="1" t="n">
        <v>45586</v>
      </c>
      <c r="D3149" t="inlineStr">
        <is>
          <t>VÄSTRA GÖTALANDS LÄN</t>
        </is>
      </c>
      <c r="E3149" t="inlineStr">
        <is>
          <t>UDDEVALLA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14034-2020</t>
        </is>
      </c>
      <c r="B3150" s="1" t="n">
        <v>43906</v>
      </c>
      <c r="C3150" s="1" t="n">
        <v>45586</v>
      </c>
      <c r="D3150" t="inlineStr">
        <is>
          <t>VÄSTRA GÖTALANDS LÄN</t>
        </is>
      </c>
      <c r="E3150" t="inlineStr">
        <is>
          <t>GULLSPÅNG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14032-2020</t>
        </is>
      </c>
      <c r="B3151" s="1" t="n">
        <v>43906</v>
      </c>
      <c r="C3151" s="1" t="n">
        <v>45586</v>
      </c>
      <c r="D3151" t="inlineStr">
        <is>
          <t>VÄSTRA GÖTALANDS LÄN</t>
        </is>
      </c>
      <c r="E3151" t="inlineStr">
        <is>
          <t>GULLSPÅNG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14029-2020</t>
        </is>
      </c>
      <c r="B3152" s="1" t="n">
        <v>43906</v>
      </c>
      <c r="C3152" s="1" t="n">
        <v>45586</v>
      </c>
      <c r="D3152" t="inlineStr">
        <is>
          <t>VÄSTRA GÖTALANDS LÄN</t>
        </is>
      </c>
      <c r="E3152" t="inlineStr">
        <is>
          <t>MARK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14130-2020</t>
        </is>
      </c>
      <c r="B3153" s="1" t="n">
        <v>43907</v>
      </c>
      <c r="C3153" s="1" t="n">
        <v>45586</v>
      </c>
      <c r="D3153" t="inlineStr">
        <is>
          <t>VÄSTRA GÖTALANDS LÄN</t>
        </is>
      </c>
      <c r="E3153" t="inlineStr">
        <is>
          <t>VARA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14261-2020</t>
        </is>
      </c>
      <c r="B3154" s="1" t="n">
        <v>43907</v>
      </c>
      <c r="C3154" s="1" t="n">
        <v>45586</v>
      </c>
      <c r="D3154" t="inlineStr">
        <is>
          <t>VÄSTRA GÖTALANDS LÄN</t>
        </is>
      </c>
      <c r="E3154" t="inlineStr">
        <is>
          <t>GÖTENE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16066-2020</t>
        </is>
      </c>
      <c r="B3155" s="1" t="n">
        <v>43907</v>
      </c>
      <c r="C3155" s="1" t="n">
        <v>45586</v>
      </c>
      <c r="D3155" t="inlineStr">
        <is>
          <t>VÄSTRA GÖTALANDS LÄN</t>
        </is>
      </c>
      <c r="E3155" t="inlineStr">
        <is>
          <t>FALKÖPING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14159-2020</t>
        </is>
      </c>
      <c r="B3156" s="1" t="n">
        <v>43907</v>
      </c>
      <c r="C3156" s="1" t="n">
        <v>45586</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14993-2020</t>
        </is>
      </c>
      <c r="B3157" s="1" t="n">
        <v>43907</v>
      </c>
      <c r="C3157" s="1" t="n">
        <v>45586</v>
      </c>
      <c r="D3157" t="inlineStr">
        <is>
          <t>VÄSTRA GÖTALANDS LÄN</t>
        </is>
      </c>
      <c r="E3157" t="inlineStr">
        <is>
          <t>MARK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14219-2020</t>
        </is>
      </c>
      <c r="B3158" s="1" t="n">
        <v>43907</v>
      </c>
      <c r="C3158" s="1" t="n">
        <v>45586</v>
      </c>
      <c r="D3158" t="inlineStr">
        <is>
          <t>VÄSTRA GÖTALANDS LÄN</t>
        </is>
      </c>
      <c r="E3158" t="inlineStr">
        <is>
          <t>FALKÖPING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14297-2020</t>
        </is>
      </c>
      <c r="B3159" s="1" t="n">
        <v>43907</v>
      </c>
      <c r="C3159" s="1" t="n">
        <v>45586</v>
      </c>
      <c r="D3159" t="inlineStr">
        <is>
          <t>VÄSTRA GÖTALANDS LÄN</t>
        </is>
      </c>
      <c r="E3159" t="inlineStr">
        <is>
          <t>UDDEVALLA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14248-2020</t>
        </is>
      </c>
      <c r="B3160" s="1" t="n">
        <v>43907</v>
      </c>
      <c r="C3160" s="1" t="n">
        <v>45586</v>
      </c>
      <c r="D3160" t="inlineStr">
        <is>
          <t>VÄSTRA GÖTALANDS LÄN</t>
        </is>
      </c>
      <c r="E3160" t="inlineStr">
        <is>
          <t>TROLLHÄTTAN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16219-2020</t>
        </is>
      </c>
      <c r="B3161" s="1" t="n">
        <v>43907</v>
      </c>
      <c r="C3161" s="1" t="n">
        <v>45586</v>
      </c>
      <c r="D3161" t="inlineStr">
        <is>
          <t>VÄSTRA GÖTALANDS LÄN</t>
        </is>
      </c>
      <c r="E3161" t="inlineStr">
        <is>
          <t>FALKÖPING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16237-2020</t>
        </is>
      </c>
      <c r="B3162" s="1" t="n">
        <v>43907</v>
      </c>
      <c r="C3162" s="1" t="n">
        <v>45586</v>
      </c>
      <c r="D3162" t="inlineStr">
        <is>
          <t>VÄSTRA GÖTALANDS LÄN</t>
        </is>
      </c>
      <c r="E3162" t="inlineStr">
        <is>
          <t>FALKÖPING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14127-2020</t>
        </is>
      </c>
      <c r="B3163" s="1" t="n">
        <v>43907</v>
      </c>
      <c r="C3163" s="1" t="n">
        <v>45586</v>
      </c>
      <c r="D3163" t="inlineStr">
        <is>
          <t>VÄSTRA GÖTALANDS LÄN</t>
        </is>
      </c>
      <c r="E3163" t="inlineStr">
        <is>
          <t>VARA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14346-2020</t>
        </is>
      </c>
      <c r="B3164" s="1" t="n">
        <v>43908</v>
      </c>
      <c r="C3164" s="1" t="n">
        <v>45586</v>
      </c>
      <c r="D3164" t="inlineStr">
        <is>
          <t>VÄSTRA GÖTALANDS LÄN</t>
        </is>
      </c>
      <c r="E3164" t="inlineStr">
        <is>
          <t>ALINGSÅS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14383-2020</t>
        </is>
      </c>
      <c r="B3165" s="1" t="n">
        <v>43908</v>
      </c>
      <c r="C3165" s="1" t="n">
        <v>45586</v>
      </c>
      <c r="D3165" t="inlineStr">
        <is>
          <t>VÄSTRA GÖTALANDS LÄN</t>
        </is>
      </c>
      <c r="E3165" t="inlineStr">
        <is>
          <t>FALKÖPING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14412-2020</t>
        </is>
      </c>
      <c r="B3166" s="1" t="n">
        <v>43908</v>
      </c>
      <c r="C3166" s="1" t="n">
        <v>45586</v>
      </c>
      <c r="D3166" t="inlineStr">
        <is>
          <t>VÄSTRA GÖTALANDS LÄN</t>
        </is>
      </c>
      <c r="E3166" t="inlineStr">
        <is>
          <t>MARIESTAD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14569-2020</t>
        </is>
      </c>
      <c r="B3167" s="1" t="n">
        <v>43908</v>
      </c>
      <c r="C3167" s="1" t="n">
        <v>45586</v>
      </c>
      <c r="D3167" t="inlineStr">
        <is>
          <t>VÄSTRA GÖTALANDS LÄN</t>
        </is>
      </c>
      <c r="E3167" t="inlineStr">
        <is>
          <t>SKÖVDE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14357-2020</t>
        </is>
      </c>
      <c r="B3168" s="1" t="n">
        <v>43908</v>
      </c>
      <c r="C3168" s="1" t="n">
        <v>45586</v>
      </c>
      <c r="D3168" t="inlineStr">
        <is>
          <t>VÄSTRA GÖTALANDS LÄN</t>
        </is>
      </c>
      <c r="E3168" t="inlineStr">
        <is>
          <t>MUNKEDAL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14435-2020</t>
        </is>
      </c>
      <c r="B3169" s="1" t="n">
        <v>43908</v>
      </c>
      <c r="C3169" s="1" t="n">
        <v>45586</v>
      </c>
      <c r="D3169" t="inlineStr">
        <is>
          <t>VÄSTRA GÖTALANDS LÄN</t>
        </is>
      </c>
      <c r="E3169" t="inlineStr">
        <is>
          <t>MARIESTAD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14396-2020</t>
        </is>
      </c>
      <c r="B3170" s="1" t="n">
        <v>43908</v>
      </c>
      <c r="C3170" s="1" t="n">
        <v>45586</v>
      </c>
      <c r="D3170" t="inlineStr">
        <is>
          <t>VÄSTRA GÖTALANDS LÄN</t>
        </is>
      </c>
      <c r="E3170" t="inlineStr">
        <is>
          <t>FALKÖPING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14413-2020</t>
        </is>
      </c>
      <c r="B3171" s="1" t="n">
        <v>43908</v>
      </c>
      <c r="C3171" s="1" t="n">
        <v>45586</v>
      </c>
      <c r="D3171" t="inlineStr">
        <is>
          <t>VÄSTRA GÖTALANDS LÄN</t>
        </is>
      </c>
      <c r="E3171" t="inlineStr">
        <is>
          <t>DALS-ED</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14342-2020</t>
        </is>
      </c>
      <c r="B3172" s="1" t="n">
        <v>43908</v>
      </c>
      <c r="C3172" s="1" t="n">
        <v>45586</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14546-2020</t>
        </is>
      </c>
      <c r="B3173" s="1" t="n">
        <v>43908</v>
      </c>
      <c r="C3173" s="1" t="n">
        <v>45586</v>
      </c>
      <c r="D3173" t="inlineStr">
        <is>
          <t>VÄSTRA GÖTALANDS LÄN</t>
        </is>
      </c>
      <c r="E3173" t="inlineStr">
        <is>
          <t>MARK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14568-2020</t>
        </is>
      </c>
      <c r="B3174" s="1" t="n">
        <v>43908</v>
      </c>
      <c r="C3174" s="1" t="n">
        <v>45586</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15275-2020</t>
        </is>
      </c>
      <c r="B3175" s="1" t="n">
        <v>43908</v>
      </c>
      <c r="C3175" s="1" t="n">
        <v>45586</v>
      </c>
      <c r="D3175" t="inlineStr">
        <is>
          <t>VÄSTRA GÖTALANDS LÄN</t>
        </is>
      </c>
      <c r="E3175" t="inlineStr">
        <is>
          <t>LIDKÖPING</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16355-2020</t>
        </is>
      </c>
      <c r="B3176" s="1" t="n">
        <v>43908</v>
      </c>
      <c r="C3176" s="1" t="n">
        <v>45586</v>
      </c>
      <c r="D3176" t="inlineStr">
        <is>
          <t>VÄSTRA GÖTALANDS LÄN</t>
        </is>
      </c>
      <c r="E3176" t="inlineStr">
        <is>
          <t>VARA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15287-2020</t>
        </is>
      </c>
      <c r="B3177" s="1" t="n">
        <v>43908</v>
      </c>
      <c r="C3177" s="1" t="n">
        <v>45586</v>
      </c>
      <c r="D3177" t="inlineStr">
        <is>
          <t>VÄSTRA GÖTALANDS LÄN</t>
        </is>
      </c>
      <c r="E3177" t="inlineStr">
        <is>
          <t>LIDKÖPING</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16366-2020</t>
        </is>
      </c>
      <c r="B3178" s="1" t="n">
        <v>43908</v>
      </c>
      <c r="C3178" s="1" t="n">
        <v>45586</v>
      </c>
      <c r="D3178" t="inlineStr">
        <is>
          <t>VÄSTRA GÖTALANDS LÄN</t>
        </is>
      </c>
      <c r="E3178" t="inlineStr">
        <is>
          <t>VARA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14448-2020</t>
        </is>
      </c>
      <c r="B3179" s="1" t="n">
        <v>43908</v>
      </c>
      <c r="C3179" s="1" t="n">
        <v>45586</v>
      </c>
      <c r="D3179" t="inlineStr">
        <is>
          <t>VÄSTRA GÖTALANDS LÄN</t>
        </is>
      </c>
      <c r="E3179" t="inlineStr">
        <is>
          <t>BENGTSFORS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14641-2020</t>
        </is>
      </c>
      <c r="B3180" s="1" t="n">
        <v>43909</v>
      </c>
      <c r="C3180" s="1" t="n">
        <v>45586</v>
      </c>
      <c r="D3180" t="inlineStr">
        <is>
          <t>VÄSTRA GÖTALANDS LÄN</t>
        </is>
      </c>
      <c r="E3180" t="inlineStr">
        <is>
          <t>BENGTSFORS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14722-2020</t>
        </is>
      </c>
      <c r="B3181" s="1" t="n">
        <v>43909</v>
      </c>
      <c r="C3181" s="1" t="n">
        <v>45586</v>
      </c>
      <c r="D3181" t="inlineStr">
        <is>
          <t>VÄSTRA GÖTALANDS LÄN</t>
        </is>
      </c>
      <c r="E3181" t="inlineStr">
        <is>
          <t>SKARA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14648-2020</t>
        </is>
      </c>
      <c r="B3182" s="1" t="n">
        <v>43909</v>
      </c>
      <c r="C3182" s="1" t="n">
        <v>45586</v>
      </c>
      <c r="D3182" t="inlineStr">
        <is>
          <t>VÄSTRA GÖTALANDS LÄN</t>
        </is>
      </c>
      <c r="E3182" t="inlineStr">
        <is>
          <t>TROLLHÄTTAN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14670-2020</t>
        </is>
      </c>
      <c r="B3183" s="1" t="n">
        <v>43909</v>
      </c>
      <c r="C3183" s="1" t="n">
        <v>45586</v>
      </c>
      <c r="D3183" t="inlineStr">
        <is>
          <t>VÄSTRA GÖTALANDS LÄN</t>
        </is>
      </c>
      <c r="E3183" t="inlineStr">
        <is>
          <t>ESSUNGA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14734-2020</t>
        </is>
      </c>
      <c r="B3184" s="1" t="n">
        <v>43909</v>
      </c>
      <c r="C3184" s="1" t="n">
        <v>45586</v>
      </c>
      <c r="D3184" t="inlineStr">
        <is>
          <t>VÄSTRA GÖTALANDS LÄN</t>
        </is>
      </c>
      <c r="E3184" t="inlineStr">
        <is>
          <t>SKÖVDE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14646-2020</t>
        </is>
      </c>
      <c r="B3185" s="1" t="n">
        <v>43909</v>
      </c>
      <c r="C3185" s="1" t="n">
        <v>45586</v>
      </c>
      <c r="D3185" t="inlineStr">
        <is>
          <t>VÄSTRA GÖTALANDS LÄN</t>
        </is>
      </c>
      <c r="E3185" t="inlineStr">
        <is>
          <t>DALS-ED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14703-2020</t>
        </is>
      </c>
      <c r="B3186" s="1" t="n">
        <v>43909</v>
      </c>
      <c r="C3186" s="1" t="n">
        <v>45586</v>
      </c>
      <c r="D3186" t="inlineStr">
        <is>
          <t>VÄSTRA GÖTALANDS LÄN</t>
        </is>
      </c>
      <c r="E3186" t="inlineStr">
        <is>
          <t>TANUM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14772-2020</t>
        </is>
      </c>
      <c r="B3187" s="1" t="n">
        <v>43909</v>
      </c>
      <c r="C3187" s="1" t="n">
        <v>45586</v>
      </c>
      <c r="D3187" t="inlineStr">
        <is>
          <t>VÄSTRA GÖTALANDS LÄN</t>
        </is>
      </c>
      <c r="E3187" t="inlineStr">
        <is>
          <t>LILLA EDET</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14625-2020</t>
        </is>
      </c>
      <c r="B3188" s="1" t="n">
        <v>43909</v>
      </c>
      <c r="C3188" s="1" t="n">
        <v>45586</v>
      </c>
      <c r="D3188" t="inlineStr">
        <is>
          <t>VÄSTRA GÖTALANDS LÄN</t>
        </is>
      </c>
      <c r="E3188" t="inlineStr">
        <is>
          <t>VÅRGÅRDA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14779-2020</t>
        </is>
      </c>
      <c r="B3189" s="1" t="n">
        <v>43909</v>
      </c>
      <c r="C3189" s="1" t="n">
        <v>45586</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14784-2020</t>
        </is>
      </c>
      <c r="B3190" s="1" t="n">
        <v>43909</v>
      </c>
      <c r="C3190" s="1" t="n">
        <v>45586</v>
      </c>
      <c r="D3190" t="inlineStr">
        <is>
          <t>VÄSTRA GÖTALANDS LÄN</t>
        </is>
      </c>
      <c r="E3190" t="inlineStr">
        <is>
          <t>KARLSBORG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14808-2020</t>
        </is>
      </c>
      <c r="B3191" s="1" t="n">
        <v>43909</v>
      </c>
      <c r="C3191" s="1" t="n">
        <v>45586</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16553-2020</t>
        </is>
      </c>
      <c r="B3192" s="1" t="n">
        <v>43909</v>
      </c>
      <c r="C3192" s="1" t="n">
        <v>45586</v>
      </c>
      <c r="D3192" t="inlineStr">
        <is>
          <t>VÄSTRA GÖTALANDS LÄN</t>
        </is>
      </c>
      <c r="E3192" t="inlineStr">
        <is>
          <t>GULLSPÅNG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16551-2020</t>
        </is>
      </c>
      <c r="B3193" s="1" t="n">
        <v>43909</v>
      </c>
      <c r="C3193" s="1" t="n">
        <v>45586</v>
      </c>
      <c r="D3193" t="inlineStr">
        <is>
          <t>VÄSTRA GÖTALANDS LÄN</t>
        </is>
      </c>
      <c r="E3193" t="inlineStr">
        <is>
          <t>MARIESTAD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16460-2020</t>
        </is>
      </c>
      <c r="B3194" s="1" t="n">
        <v>43909</v>
      </c>
      <c r="C3194" s="1" t="n">
        <v>45586</v>
      </c>
      <c r="D3194" t="inlineStr">
        <is>
          <t>VÄSTRA GÖTALANDS LÄN</t>
        </is>
      </c>
      <c r="E3194" t="inlineStr">
        <is>
          <t>ÅMÅL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15059-2020</t>
        </is>
      </c>
      <c r="B3195" s="1" t="n">
        <v>43910</v>
      </c>
      <c r="C3195" s="1" t="n">
        <v>45586</v>
      </c>
      <c r="D3195" t="inlineStr">
        <is>
          <t>VÄSTRA GÖTALANDS LÄN</t>
        </is>
      </c>
      <c r="E3195" t="inlineStr">
        <is>
          <t>VARA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15083-2020</t>
        </is>
      </c>
      <c r="B3196" s="1" t="n">
        <v>43910</v>
      </c>
      <c r="C3196" s="1" t="n">
        <v>45586</v>
      </c>
      <c r="D3196" t="inlineStr">
        <is>
          <t>VÄSTRA GÖTALANDS LÄN</t>
        </is>
      </c>
      <c r="E3196" t="inlineStr">
        <is>
          <t>BENGTSFORS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15102-2020</t>
        </is>
      </c>
      <c r="B3197" s="1" t="n">
        <v>43910</v>
      </c>
      <c r="C3197" s="1" t="n">
        <v>45586</v>
      </c>
      <c r="D3197" t="inlineStr">
        <is>
          <t>VÄSTRA GÖTALANDS LÄN</t>
        </is>
      </c>
      <c r="E3197" t="inlineStr">
        <is>
          <t>FÄRGELANDA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15164-2020</t>
        </is>
      </c>
      <c r="B3198" s="1" t="n">
        <v>43912</v>
      </c>
      <c r="C3198" s="1" t="n">
        <v>45586</v>
      </c>
      <c r="D3198" t="inlineStr">
        <is>
          <t>VÄSTRA GÖTALANDS LÄN</t>
        </is>
      </c>
      <c r="E3198" t="inlineStr">
        <is>
          <t>SVENLJUNGA</t>
        </is>
      </c>
      <c r="G3198" t="n">
        <v>16.4</v>
      </c>
      <c r="H3198" t="n">
        <v>0</v>
      </c>
      <c r="I3198" t="n">
        <v>0</v>
      </c>
      <c r="J3198" t="n">
        <v>0</v>
      </c>
      <c r="K3198" t="n">
        <v>0</v>
      </c>
      <c r="L3198" t="n">
        <v>0</v>
      </c>
      <c r="M3198" t="n">
        <v>0</v>
      </c>
      <c r="N3198" t="n">
        <v>0</v>
      </c>
      <c r="O3198" t="n">
        <v>0</v>
      </c>
      <c r="P3198" t="n">
        <v>0</v>
      </c>
      <c r="Q3198" t="n">
        <v>0</v>
      </c>
      <c r="R3198" s="2" t="inlineStr"/>
    </row>
    <row r="3199" ht="15" customHeight="1">
      <c r="A3199" t="inlineStr">
        <is>
          <t>A 15219-2020</t>
        </is>
      </c>
      <c r="B3199" s="1" t="n">
        <v>43913</v>
      </c>
      <c r="C3199" s="1" t="n">
        <v>45586</v>
      </c>
      <c r="D3199" t="inlineStr">
        <is>
          <t>VÄSTRA GÖTALANDS LÄN</t>
        </is>
      </c>
      <c r="E3199" t="inlineStr">
        <is>
          <t>TÖREBODA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15261-2020</t>
        </is>
      </c>
      <c r="B3200" s="1" t="n">
        <v>43913</v>
      </c>
      <c r="C3200" s="1" t="n">
        <v>45586</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15387-2020</t>
        </is>
      </c>
      <c r="B3201" s="1" t="n">
        <v>43913</v>
      </c>
      <c r="C3201" s="1" t="n">
        <v>45586</v>
      </c>
      <c r="D3201" t="inlineStr">
        <is>
          <t>VÄSTRA GÖTALANDS LÄN</t>
        </is>
      </c>
      <c r="E3201" t="inlineStr">
        <is>
          <t>BENGTSFORS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15214-2020</t>
        </is>
      </c>
      <c r="B3202" s="1" t="n">
        <v>43913</v>
      </c>
      <c r="C3202" s="1" t="n">
        <v>45586</v>
      </c>
      <c r="D3202" t="inlineStr">
        <is>
          <t>VÄSTRA GÖTALANDS LÄN</t>
        </is>
      </c>
      <c r="E3202" t="inlineStr">
        <is>
          <t>SKARA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15226-2020</t>
        </is>
      </c>
      <c r="B3203" s="1" t="n">
        <v>43913</v>
      </c>
      <c r="C3203" s="1" t="n">
        <v>45586</v>
      </c>
      <c r="D3203" t="inlineStr">
        <is>
          <t>VÄSTRA GÖTALANDS LÄN</t>
        </is>
      </c>
      <c r="E3203" t="inlineStr">
        <is>
          <t>TÖREBODA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15234-2020</t>
        </is>
      </c>
      <c r="B3204" s="1" t="n">
        <v>43913</v>
      </c>
      <c r="C3204" s="1" t="n">
        <v>45586</v>
      </c>
      <c r="D3204" t="inlineStr">
        <is>
          <t>VÄSTRA GÖTALANDS LÄN</t>
        </is>
      </c>
      <c r="E3204" t="inlineStr">
        <is>
          <t>HÄRRYDA</t>
        </is>
      </c>
      <c r="F3204" t="inlineStr">
        <is>
          <t>Kommuner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15242-2020</t>
        </is>
      </c>
      <c r="B3205" s="1" t="n">
        <v>43913</v>
      </c>
      <c r="C3205" s="1" t="n">
        <v>45586</v>
      </c>
      <c r="D3205" t="inlineStr">
        <is>
          <t>VÄSTRA GÖTALANDS LÄN</t>
        </is>
      </c>
      <c r="E3205" t="inlineStr">
        <is>
          <t>HERRLJUNGA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15270-2020</t>
        </is>
      </c>
      <c r="B3206" s="1" t="n">
        <v>43913</v>
      </c>
      <c r="C3206" s="1" t="n">
        <v>45586</v>
      </c>
      <c r="D3206" t="inlineStr">
        <is>
          <t>VÄSTRA GÖTALANDS LÄN</t>
        </is>
      </c>
      <c r="E3206" t="inlineStr">
        <is>
          <t>TRANEMO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15265-2020</t>
        </is>
      </c>
      <c r="B3207" s="1" t="n">
        <v>43913</v>
      </c>
      <c r="C3207" s="1" t="n">
        <v>45586</v>
      </c>
      <c r="D3207" t="inlineStr">
        <is>
          <t>VÄSTRA GÖTALANDS LÄN</t>
        </is>
      </c>
      <c r="E3207" t="inlineStr">
        <is>
          <t>HÄRRYDA</t>
        </is>
      </c>
      <c r="F3207" t="inlineStr">
        <is>
          <t>Kommuner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16914-2020</t>
        </is>
      </c>
      <c r="B3208" s="1" t="n">
        <v>43913</v>
      </c>
      <c r="C3208" s="1" t="n">
        <v>45586</v>
      </c>
      <c r="D3208" t="inlineStr">
        <is>
          <t>VÄSTRA GÖTALANDS LÄN</t>
        </is>
      </c>
      <c r="E3208" t="inlineStr">
        <is>
          <t>LILLA EDET</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17209-2020</t>
        </is>
      </c>
      <c r="B3209" s="1" t="n">
        <v>43913</v>
      </c>
      <c r="C3209" s="1" t="n">
        <v>45586</v>
      </c>
      <c r="D3209" t="inlineStr">
        <is>
          <t>VÄSTRA GÖTALANDS LÄN</t>
        </is>
      </c>
      <c r="E3209" t="inlineStr">
        <is>
          <t>BENGTSFORS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15386-2020</t>
        </is>
      </c>
      <c r="B3210" s="1" t="n">
        <v>43913</v>
      </c>
      <c r="C3210" s="1" t="n">
        <v>45586</v>
      </c>
      <c r="D3210" t="inlineStr">
        <is>
          <t>VÄSTRA GÖTALANDS LÄN</t>
        </is>
      </c>
      <c r="E3210" t="inlineStr">
        <is>
          <t>BENGTSFORS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16794-2020</t>
        </is>
      </c>
      <c r="B3211" s="1" t="n">
        <v>43913</v>
      </c>
      <c r="C3211" s="1" t="n">
        <v>45586</v>
      </c>
      <c r="D3211" t="inlineStr">
        <is>
          <t>VÄSTRA GÖTALANDS LÄN</t>
        </is>
      </c>
      <c r="E3211" t="inlineStr">
        <is>
          <t>TANUM</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15425-2020</t>
        </is>
      </c>
      <c r="B3212" s="1" t="n">
        <v>43914</v>
      </c>
      <c r="C3212" s="1" t="n">
        <v>45586</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15530-2020</t>
        </is>
      </c>
      <c r="B3213" s="1" t="n">
        <v>43914</v>
      </c>
      <c r="C3213" s="1" t="n">
        <v>45586</v>
      </c>
      <c r="D3213" t="inlineStr">
        <is>
          <t>VÄSTRA GÖTALANDS LÄN</t>
        </is>
      </c>
      <c r="E3213" t="inlineStr">
        <is>
          <t>HJO</t>
        </is>
      </c>
      <c r="F3213" t="inlineStr">
        <is>
          <t>Kyrkan</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15601-2020</t>
        </is>
      </c>
      <c r="B3214" s="1" t="n">
        <v>43914</v>
      </c>
      <c r="C3214" s="1" t="n">
        <v>45586</v>
      </c>
      <c r="D3214" t="inlineStr">
        <is>
          <t>VÄSTRA GÖTALANDS LÄN</t>
        </is>
      </c>
      <c r="E3214" t="inlineStr">
        <is>
          <t>FÄRGELANDA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15522-2020</t>
        </is>
      </c>
      <c r="B3215" s="1" t="n">
        <v>43914</v>
      </c>
      <c r="C3215" s="1" t="n">
        <v>45586</v>
      </c>
      <c r="D3215" t="inlineStr">
        <is>
          <t>VÄSTRA GÖTALANDS LÄN</t>
        </is>
      </c>
      <c r="E3215" t="inlineStr">
        <is>
          <t>BENGTSFORS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15558-2020</t>
        </is>
      </c>
      <c r="B3216" s="1" t="n">
        <v>43914</v>
      </c>
      <c r="C3216" s="1" t="n">
        <v>45586</v>
      </c>
      <c r="D3216" t="inlineStr">
        <is>
          <t>VÄSTRA GÖTALANDS LÄN</t>
        </is>
      </c>
      <c r="E3216" t="inlineStr">
        <is>
          <t>SKARA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15614-2020</t>
        </is>
      </c>
      <c r="B3217" s="1" t="n">
        <v>43914</v>
      </c>
      <c r="C3217" s="1" t="n">
        <v>45586</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15619-2020</t>
        </is>
      </c>
      <c r="B3218" s="1" t="n">
        <v>43914</v>
      </c>
      <c r="C3218" s="1" t="n">
        <v>45586</v>
      </c>
      <c r="D3218" t="inlineStr">
        <is>
          <t>VÄSTRA GÖTALANDS LÄN</t>
        </is>
      </c>
      <c r="E3218" t="inlineStr">
        <is>
          <t>MARIESTAD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15597-2020</t>
        </is>
      </c>
      <c r="B3219" s="1" t="n">
        <v>43914</v>
      </c>
      <c r="C3219" s="1" t="n">
        <v>45586</v>
      </c>
      <c r="D3219" t="inlineStr">
        <is>
          <t>VÄSTRA GÖTALANDS LÄN</t>
        </is>
      </c>
      <c r="E3219" t="inlineStr">
        <is>
          <t>HÄRRYDA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15603-2020</t>
        </is>
      </c>
      <c r="B3220" s="1" t="n">
        <v>43914</v>
      </c>
      <c r="C3220" s="1" t="n">
        <v>45586</v>
      </c>
      <c r="D3220" t="inlineStr">
        <is>
          <t>VÄSTRA GÖTALANDS LÄN</t>
        </is>
      </c>
      <c r="E3220" t="inlineStr">
        <is>
          <t>MELLERUD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15621-2020</t>
        </is>
      </c>
      <c r="B3221" s="1" t="n">
        <v>43914</v>
      </c>
      <c r="C3221" s="1" t="n">
        <v>45586</v>
      </c>
      <c r="D3221" t="inlineStr">
        <is>
          <t>VÄSTRA GÖTALANDS LÄN</t>
        </is>
      </c>
      <c r="E3221" t="inlineStr">
        <is>
          <t>MARIESTAD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15623-2020</t>
        </is>
      </c>
      <c r="B3222" s="1" t="n">
        <v>43914</v>
      </c>
      <c r="C3222" s="1" t="n">
        <v>45586</v>
      </c>
      <c r="D3222" t="inlineStr">
        <is>
          <t>VÄSTRA GÖTALANDS LÄN</t>
        </is>
      </c>
      <c r="E3222" t="inlineStr">
        <is>
          <t>MARIESTAD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16442-2020</t>
        </is>
      </c>
      <c r="B3223" s="1" t="n">
        <v>43914</v>
      </c>
      <c r="C3223" s="1" t="n">
        <v>45586</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15662-2020</t>
        </is>
      </c>
      <c r="B3224" s="1" t="n">
        <v>43915</v>
      </c>
      <c r="C3224" s="1" t="n">
        <v>45586</v>
      </c>
      <c r="D3224" t="inlineStr">
        <is>
          <t>VÄSTRA GÖTALANDS LÄN</t>
        </is>
      </c>
      <c r="E3224" t="inlineStr">
        <is>
          <t>SVENLJUNGA</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15842-2020</t>
        </is>
      </c>
      <c r="B3225" s="1" t="n">
        <v>43915</v>
      </c>
      <c r="C3225" s="1" t="n">
        <v>45586</v>
      </c>
      <c r="D3225" t="inlineStr">
        <is>
          <t>VÄSTRA GÖTALANDS LÄN</t>
        </is>
      </c>
      <c r="E3225" t="inlineStr">
        <is>
          <t>HERRLJUNGA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15852-2020</t>
        </is>
      </c>
      <c r="B3226" s="1" t="n">
        <v>43915</v>
      </c>
      <c r="C3226" s="1" t="n">
        <v>45586</v>
      </c>
      <c r="D3226" t="inlineStr">
        <is>
          <t>VÄSTRA GÖTALANDS LÄN</t>
        </is>
      </c>
      <c r="E3226" t="inlineStr">
        <is>
          <t>FÄRGELANDA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15789-2020</t>
        </is>
      </c>
      <c r="B3227" s="1" t="n">
        <v>43915</v>
      </c>
      <c r="C3227" s="1" t="n">
        <v>45586</v>
      </c>
      <c r="D3227" t="inlineStr">
        <is>
          <t>VÄSTRA GÖTALANDS LÄN</t>
        </is>
      </c>
      <c r="E3227" t="inlineStr">
        <is>
          <t>BORÅS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15807-2020</t>
        </is>
      </c>
      <c r="B3228" s="1" t="n">
        <v>43915</v>
      </c>
      <c r="C3228" s="1" t="n">
        <v>45586</v>
      </c>
      <c r="D3228" t="inlineStr">
        <is>
          <t>VÄSTRA GÖTALANDS LÄN</t>
        </is>
      </c>
      <c r="E3228" t="inlineStr">
        <is>
          <t>LYSEKIL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15841-2020</t>
        </is>
      </c>
      <c r="B3229" s="1" t="n">
        <v>43915</v>
      </c>
      <c r="C3229" s="1" t="n">
        <v>45586</v>
      </c>
      <c r="D3229" t="inlineStr">
        <is>
          <t>VÄSTRA GÖTALANDS LÄN</t>
        </is>
      </c>
      <c r="E3229" t="inlineStr">
        <is>
          <t>DALS-ED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15746-2020</t>
        </is>
      </c>
      <c r="B3230" s="1" t="n">
        <v>43915</v>
      </c>
      <c r="C3230" s="1" t="n">
        <v>45586</v>
      </c>
      <c r="D3230" t="inlineStr">
        <is>
          <t>VÄSTRA GÖTALANDS LÄN</t>
        </is>
      </c>
      <c r="E3230" t="inlineStr">
        <is>
          <t>BORÅS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15819-2020</t>
        </is>
      </c>
      <c r="B3231" s="1" t="n">
        <v>43915</v>
      </c>
      <c r="C3231" s="1" t="n">
        <v>45586</v>
      </c>
      <c r="D3231" t="inlineStr">
        <is>
          <t>VÄSTRA GÖTALANDS LÄN</t>
        </is>
      </c>
      <c r="E3231" t="inlineStr">
        <is>
          <t>DALS-ED</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15834-2020</t>
        </is>
      </c>
      <c r="B3232" s="1" t="n">
        <v>43915</v>
      </c>
      <c r="C3232" s="1" t="n">
        <v>45586</v>
      </c>
      <c r="D3232" t="inlineStr">
        <is>
          <t>VÄSTRA GÖTALANDS LÄN</t>
        </is>
      </c>
      <c r="E3232" t="inlineStr">
        <is>
          <t>TANUM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15847-2020</t>
        </is>
      </c>
      <c r="B3233" s="1" t="n">
        <v>43915</v>
      </c>
      <c r="C3233" s="1" t="n">
        <v>45586</v>
      </c>
      <c r="D3233" t="inlineStr">
        <is>
          <t>VÄSTRA GÖTALANDS LÄN</t>
        </is>
      </c>
      <c r="E3233" t="inlineStr">
        <is>
          <t>GÖTEBORG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17160-2020</t>
        </is>
      </c>
      <c r="B3234" s="1" t="n">
        <v>43915</v>
      </c>
      <c r="C3234" s="1" t="n">
        <v>45586</v>
      </c>
      <c r="D3234" t="inlineStr">
        <is>
          <t>VÄSTRA GÖTALANDS LÄN</t>
        </is>
      </c>
      <c r="E3234" t="inlineStr">
        <is>
          <t>LIDKÖPING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15846-2020</t>
        </is>
      </c>
      <c r="B3235" s="1" t="n">
        <v>43915</v>
      </c>
      <c r="C3235" s="1" t="n">
        <v>45586</v>
      </c>
      <c r="D3235" t="inlineStr">
        <is>
          <t>VÄSTRA GÖTALANDS LÄN</t>
        </is>
      </c>
      <c r="E3235" t="inlineStr">
        <is>
          <t>HÄRRYDA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15880-2020</t>
        </is>
      </c>
      <c r="B3236" s="1" t="n">
        <v>43915</v>
      </c>
      <c r="C3236" s="1" t="n">
        <v>45586</v>
      </c>
      <c r="D3236" t="inlineStr">
        <is>
          <t>VÄSTRA GÖTALANDS LÄN</t>
        </is>
      </c>
      <c r="E3236" t="inlineStr">
        <is>
          <t>VARA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17145-2020</t>
        </is>
      </c>
      <c r="B3237" s="1" t="n">
        <v>43915</v>
      </c>
      <c r="C3237" s="1" t="n">
        <v>45586</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15758-2020</t>
        </is>
      </c>
      <c r="B3238" s="1" t="n">
        <v>43915</v>
      </c>
      <c r="C3238" s="1" t="n">
        <v>45586</v>
      </c>
      <c r="D3238" t="inlineStr">
        <is>
          <t>VÄSTRA GÖTALANDS LÄN</t>
        </is>
      </c>
      <c r="E3238" t="inlineStr">
        <is>
          <t>BENGTSFORS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15711-2020</t>
        </is>
      </c>
      <c r="B3239" s="1" t="n">
        <v>43915</v>
      </c>
      <c r="C3239" s="1" t="n">
        <v>45586</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15827-2020</t>
        </is>
      </c>
      <c r="B3240" s="1" t="n">
        <v>43915</v>
      </c>
      <c r="C3240" s="1" t="n">
        <v>45586</v>
      </c>
      <c r="D3240" t="inlineStr">
        <is>
          <t>VÄSTRA GÖTALANDS LÄN</t>
        </is>
      </c>
      <c r="E3240" t="inlineStr">
        <is>
          <t>DALS-ED</t>
        </is>
      </c>
      <c r="F3240" t="inlineStr">
        <is>
          <t>Kommuner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15655-2020</t>
        </is>
      </c>
      <c r="B3241" s="1" t="n">
        <v>43915</v>
      </c>
      <c r="C3241" s="1" t="n">
        <v>45586</v>
      </c>
      <c r="D3241" t="inlineStr">
        <is>
          <t>VÄSTRA GÖTALANDS LÄN</t>
        </is>
      </c>
      <c r="E3241" t="inlineStr">
        <is>
          <t>SVENLJUNGA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15744-2020</t>
        </is>
      </c>
      <c r="B3242" s="1" t="n">
        <v>43915</v>
      </c>
      <c r="C3242" s="1" t="n">
        <v>45586</v>
      </c>
      <c r="D3242" t="inlineStr">
        <is>
          <t>VÄSTRA GÖTALANDS LÄN</t>
        </is>
      </c>
      <c r="E3242" t="inlineStr">
        <is>
          <t>BORÅS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15798-2020</t>
        </is>
      </c>
      <c r="B3243" s="1" t="n">
        <v>43915</v>
      </c>
      <c r="C3243" s="1" t="n">
        <v>45586</v>
      </c>
      <c r="D3243" t="inlineStr">
        <is>
          <t>VÄSTRA GÖTALANDS LÄN</t>
        </is>
      </c>
      <c r="E3243" t="inlineStr">
        <is>
          <t>BORÅS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15686-2020</t>
        </is>
      </c>
      <c r="B3244" s="1" t="n">
        <v>43915</v>
      </c>
      <c r="C3244" s="1" t="n">
        <v>45586</v>
      </c>
      <c r="D3244" t="inlineStr">
        <is>
          <t>VÄSTRA GÖTALANDS LÄN</t>
        </is>
      </c>
      <c r="E3244" t="inlineStr">
        <is>
          <t>SVENLJUNGA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16085-2020</t>
        </is>
      </c>
      <c r="B3245" s="1" t="n">
        <v>43916</v>
      </c>
      <c r="C3245" s="1" t="n">
        <v>45586</v>
      </c>
      <c r="D3245" t="inlineStr">
        <is>
          <t>VÄSTRA GÖTALANDS LÄN</t>
        </is>
      </c>
      <c r="E3245" t="inlineStr">
        <is>
          <t>SKARA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15900-2020</t>
        </is>
      </c>
      <c r="B3246" s="1" t="n">
        <v>43916</v>
      </c>
      <c r="C3246" s="1" t="n">
        <v>45586</v>
      </c>
      <c r="D3246" t="inlineStr">
        <is>
          <t>VÄSTRA GÖTALANDS LÄN</t>
        </is>
      </c>
      <c r="E3246" t="inlineStr">
        <is>
          <t>HERRLJUNGA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15933-2020</t>
        </is>
      </c>
      <c r="B3247" s="1" t="n">
        <v>43916</v>
      </c>
      <c r="C3247" s="1" t="n">
        <v>45586</v>
      </c>
      <c r="D3247" t="inlineStr">
        <is>
          <t>VÄSTRA GÖTALANDS LÄN</t>
        </is>
      </c>
      <c r="E3247" t="inlineStr">
        <is>
          <t>ULRICEHAMN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15954-2020</t>
        </is>
      </c>
      <c r="B3248" s="1" t="n">
        <v>43916</v>
      </c>
      <c r="C3248" s="1" t="n">
        <v>45586</v>
      </c>
      <c r="D3248" t="inlineStr">
        <is>
          <t>VÄSTRA GÖTALANDS LÄN</t>
        </is>
      </c>
      <c r="E3248" t="inlineStr">
        <is>
          <t>FÄRGELANDA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15999-2020</t>
        </is>
      </c>
      <c r="B3249" s="1" t="n">
        <v>43916</v>
      </c>
      <c r="C3249" s="1" t="n">
        <v>45586</v>
      </c>
      <c r="D3249" t="inlineStr">
        <is>
          <t>VÄSTRA GÖTALANDS LÄN</t>
        </is>
      </c>
      <c r="E3249" t="inlineStr">
        <is>
          <t>HERRLJUNGA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16046-2020</t>
        </is>
      </c>
      <c r="B3250" s="1" t="n">
        <v>43916</v>
      </c>
      <c r="C3250" s="1" t="n">
        <v>45586</v>
      </c>
      <c r="D3250" t="inlineStr">
        <is>
          <t>VÄSTRA GÖTALANDS LÄN</t>
        </is>
      </c>
      <c r="E3250" t="inlineStr">
        <is>
          <t>KUNGÄLV</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16123-2020</t>
        </is>
      </c>
      <c r="B3251" s="1" t="n">
        <v>43916</v>
      </c>
      <c r="C3251" s="1" t="n">
        <v>45586</v>
      </c>
      <c r="D3251" t="inlineStr">
        <is>
          <t>VÄSTRA GÖTALANDS LÄN</t>
        </is>
      </c>
      <c r="E3251" t="inlineStr">
        <is>
          <t>TRANEMO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16150-2020</t>
        </is>
      </c>
      <c r="B3252" s="1" t="n">
        <v>43916</v>
      </c>
      <c r="C3252" s="1" t="n">
        <v>45586</v>
      </c>
      <c r="D3252" t="inlineStr">
        <is>
          <t>VÄSTRA GÖTALANDS LÄN</t>
        </is>
      </c>
      <c r="E3252" t="inlineStr">
        <is>
          <t>ALINGSÅS</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17356-2020</t>
        </is>
      </c>
      <c r="B3253" s="1" t="n">
        <v>43916</v>
      </c>
      <c r="C3253" s="1" t="n">
        <v>45586</v>
      </c>
      <c r="D3253" t="inlineStr">
        <is>
          <t>VÄSTRA GÖTALANDS LÄN</t>
        </is>
      </c>
      <c r="E3253" t="inlineStr">
        <is>
          <t>HERRLJUNGA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17266-2020</t>
        </is>
      </c>
      <c r="B3254" s="1" t="n">
        <v>43916</v>
      </c>
      <c r="C3254" s="1" t="n">
        <v>45586</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16065-2020</t>
        </is>
      </c>
      <c r="B3255" s="1" t="n">
        <v>43916</v>
      </c>
      <c r="C3255" s="1" t="n">
        <v>45586</v>
      </c>
      <c r="D3255" t="inlineStr">
        <is>
          <t>VÄSTRA GÖTALANDS LÄN</t>
        </is>
      </c>
      <c r="E3255" t="inlineStr">
        <is>
          <t>MÖLNDAL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16076-2020</t>
        </is>
      </c>
      <c r="B3256" s="1" t="n">
        <v>43916</v>
      </c>
      <c r="C3256" s="1" t="n">
        <v>45586</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16110-2020</t>
        </is>
      </c>
      <c r="B3257" s="1" t="n">
        <v>43916</v>
      </c>
      <c r="C3257" s="1" t="n">
        <v>45586</v>
      </c>
      <c r="D3257" t="inlineStr">
        <is>
          <t>VÄSTRA GÖTALANDS LÄN</t>
        </is>
      </c>
      <c r="E3257" t="inlineStr">
        <is>
          <t>BOLLEBYGD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16151-2020</t>
        </is>
      </c>
      <c r="B3258" s="1" t="n">
        <v>43916</v>
      </c>
      <c r="C3258" s="1" t="n">
        <v>45586</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16281-2020</t>
        </is>
      </c>
      <c r="B3259" s="1" t="n">
        <v>43917</v>
      </c>
      <c r="C3259" s="1" t="n">
        <v>45586</v>
      </c>
      <c r="D3259" t="inlineStr">
        <is>
          <t>VÄSTRA GÖTALANDS LÄN</t>
        </is>
      </c>
      <c r="E3259" t="inlineStr">
        <is>
          <t>ÅMÅL</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16256-2020</t>
        </is>
      </c>
      <c r="B3260" s="1" t="n">
        <v>43917</v>
      </c>
      <c r="C3260" s="1" t="n">
        <v>45586</v>
      </c>
      <c r="D3260" t="inlineStr">
        <is>
          <t>VÄSTRA GÖTALANDS LÄN</t>
        </is>
      </c>
      <c r="E3260" t="inlineStr">
        <is>
          <t>DALS-ED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16384-2020</t>
        </is>
      </c>
      <c r="B3261" s="1" t="n">
        <v>43917</v>
      </c>
      <c r="C3261" s="1" t="n">
        <v>45586</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17411-2020</t>
        </is>
      </c>
      <c r="B3262" s="1" t="n">
        <v>43917</v>
      </c>
      <c r="C3262" s="1" t="n">
        <v>45586</v>
      </c>
      <c r="D3262" t="inlineStr">
        <is>
          <t>VÄSTRA GÖTALANDS LÄN</t>
        </is>
      </c>
      <c r="E3262" t="inlineStr">
        <is>
          <t>LILLA EDET</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17435-2020</t>
        </is>
      </c>
      <c r="B3263" s="1" t="n">
        <v>43917</v>
      </c>
      <c r="C3263" s="1" t="n">
        <v>45586</v>
      </c>
      <c r="D3263" t="inlineStr">
        <is>
          <t>VÄSTRA GÖTALANDS LÄN</t>
        </is>
      </c>
      <c r="E3263" t="inlineStr">
        <is>
          <t>STRÖMSTAD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17523-2020</t>
        </is>
      </c>
      <c r="B3264" s="1" t="n">
        <v>43917</v>
      </c>
      <c r="C3264" s="1" t="n">
        <v>45586</v>
      </c>
      <c r="D3264" t="inlineStr">
        <is>
          <t>VÄSTRA GÖTALANDS LÄN</t>
        </is>
      </c>
      <c r="E3264" t="inlineStr">
        <is>
          <t>STRÖMSTAD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17447-2020</t>
        </is>
      </c>
      <c r="B3265" s="1" t="n">
        <v>43917</v>
      </c>
      <c r="C3265" s="1" t="n">
        <v>45586</v>
      </c>
      <c r="D3265" t="inlineStr">
        <is>
          <t>VÄSTRA GÖTALANDS LÄN</t>
        </is>
      </c>
      <c r="E3265" t="inlineStr">
        <is>
          <t>STRÖMSTAD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16411-2020</t>
        </is>
      </c>
      <c r="B3266" s="1" t="n">
        <v>43918</v>
      </c>
      <c r="C3266" s="1" t="n">
        <v>45586</v>
      </c>
      <c r="D3266" t="inlineStr">
        <is>
          <t>VÄSTRA GÖTALANDS LÄN</t>
        </is>
      </c>
      <c r="E3266" t="inlineStr">
        <is>
          <t>DALS-ED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16409-2020</t>
        </is>
      </c>
      <c r="B3267" s="1" t="n">
        <v>43918</v>
      </c>
      <c r="C3267" s="1" t="n">
        <v>45586</v>
      </c>
      <c r="D3267" t="inlineStr">
        <is>
          <t>VÄSTRA GÖTALANDS LÄN</t>
        </is>
      </c>
      <c r="E3267" t="inlineStr">
        <is>
          <t>HERRLJUNGA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16413-2020</t>
        </is>
      </c>
      <c r="B3268" s="1" t="n">
        <v>43918</v>
      </c>
      <c r="C3268" s="1" t="n">
        <v>45586</v>
      </c>
      <c r="D3268" t="inlineStr">
        <is>
          <t>VÄSTRA GÖTALANDS LÄN</t>
        </is>
      </c>
      <c r="E3268" t="inlineStr">
        <is>
          <t>BORÅS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16426-2020</t>
        </is>
      </c>
      <c r="B3269" s="1" t="n">
        <v>43919</v>
      </c>
      <c r="C3269" s="1" t="n">
        <v>45586</v>
      </c>
      <c r="D3269" t="inlineStr">
        <is>
          <t>VÄSTRA GÖTALANDS LÄN</t>
        </is>
      </c>
      <c r="E3269" t="inlineStr">
        <is>
          <t>LILLA EDET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16418-2020</t>
        </is>
      </c>
      <c r="B3270" s="1" t="n">
        <v>43919</v>
      </c>
      <c r="C3270" s="1" t="n">
        <v>45586</v>
      </c>
      <c r="D3270" t="inlineStr">
        <is>
          <t>VÄSTRA GÖTALANDS LÄN</t>
        </is>
      </c>
      <c r="E3270" t="inlineStr">
        <is>
          <t>FALKÖPING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16467-2020</t>
        </is>
      </c>
      <c r="B3271" s="1" t="n">
        <v>43920</v>
      </c>
      <c r="C3271" s="1" t="n">
        <v>45586</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16533-2020</t>
        </is>
      </c>
      <c r="B3272" s="1" t="n">
        <v>43920</v>
      </c>
      <c r="C3272" s="1" t="n">
        <v>45586</v>
      </c>
      <c r="D3272" t="inlineStr">
        <is>
          <t>VÄSTRA GÖTALANDS LÄN</t>
        </is>
      </c>
      <c r="E3272" t="inlineStr">
        <is>
          <t>MARK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16744-2020</t>
        </is>
      </c>
      <c r="B3273" s="1" t="n">
        <v>43920</v>
      </c>
      <c r="C3273" s="1" t="n">
        <v>45586</v>
      </c>
      <c r="D3273" t="inlineStr">
        <is>
          <t>VÄSTRA GÖTALANDS LÄN</t>
        </is>
      </c>
      <c r="E3273" t="inlineStr">
        <is>
          <t>MUNKEDAL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16504-2020</t>
        </is>
      </c>
      <c r="B3274" s="1" t="n">
        <v>43920</v>
      </c>
      <c r="C3274" s="1" t="n">
        <v>45586</v>
      </c>
      <c r="D3274" t="inlineStr">
        <is>
          <t>VÄSTRA GÖTALANDS LÄN</t>
        </is>
      </c>
      <c r="E3274" t="inlineStr">
        <is>
          <t>SVENLJUNGA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16534-2020</t>
        </is>
      </c>
      <c r="B3275" s="1" t="n">
        <v>43920</v>
      </c>
      <c r="C3275" s="1" t="n">
        <v>45586</v>
      </c>
      <c r="D3275" t="inlineStr">
        <is>
          <t>VÄSTRA GÖTALANDS LÄN</t>
        </is>
      </c>
      <c r="E3275" t="inlineStr">
        <is>
          <t>LIDKÖPING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16626-2020</t>
        </is>
      </c>
      <c r="B3276" s="1" t="n">
        <v>43920</v>
      </c>
      <c r="C3276" s="1" t="n">
        <v>45586</v>
      </c>
      <c r="D3276" t="inlineStr">
        <is>
          <t>VÄSTRA GÖTALANDS LÄN</t>
        </is>
      </c>
      <c r="E3276" t="inlineStr">
        <is>
          <t>MARIESTAD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16566-2020</t>
        </is>
      </c>
      <c r="B3277" s="1" t="n">
        <v>43920</v>
      </c>
      <c r="C3277" s="1" t="n">
        <v>45586</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16630-2020</t>
        </is>
      </c>
      <c r="B3278" s="1" t="n">
        <v>43920</v>
      </c>
      <c r="C3278" s="1" t="n">
        <v>45586</v>
      </c>
      <c r="D3278" t="inlineStr">
        <is>
          <t>VÄSTRA GÖTALANDS LÄN</t>
        </is>
      </c>
      <c r="E3278" t="inlineStr">
        <is>
          <t>TRANEMO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16726-2020</t>
        </is>
      </c>
      <c r="B3279" s="1" t="n">
        <v>43920</v>
      </c>
      <c r="C3279" s="1" t="n">
        <v>45586</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17497-2020</t>
        </is>
      </c>
      <c r="B3280" s="1" t="n">
        <v>43920</v>
      </c>
      <c r="C3280" s="1" t="n">
        <v>45586</v>
      </c>
      <c r="D3280" t="inlineStr">
        <is>
          <t>VÄSTRA GÖTALANDS LÄN</t>
        </is>
      </c>
      <c r="E3280" t="inlineStr">
        <is>
          <t>ALINGSÅS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17570-2020</t>
        </is>
      </c>
      <c r="B3281" s="1" t="n">
        <v>43920</v>
      </c>
      <c r="C3281" s="1" t="n">
        <v>45586</v>
      </c>
      <c r="D3281" t="inlineStr">
        <is>
          <t>VÄSTRA GÖTALANDS LÄN</t>
        </is>
      </c>
      <c r="E3281" t="inlineStr">
        <is>
          <t>STRÖMSTAD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17502-2020</t>
        </is>
      </c>
      <c r="B3282" s="1" t="n">
        <v>43920</v>
      </c>
      <c r="C3282" s="1" t="n">
        <v>45586</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17540-2020</t>
        </is>
      </c>
      <c r="B3283" s="1" t="n">
        <v>43920</v>
      </c>
      <c r="C3283" s="1" t="n">
        <v>45586</v>
      </c>
      <c r="D3283" t="inlineStr">
        <is>
          <t>VÄSTRA GÖTALANDS LÄN</t>
        </is>
      </c>
      <c r="E3283" t="inlineStr">
        <is>
          <t>LIDKÖPING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17568-2020</t>
        </is>
      </c>
      <c r="B3284" s="1" t="n">
        <v>43920</v>
      </c>
      <c r="C3284" s="1" t="n">
        <v>45586</v>
      </c>
      <c r="D3284" t="inlineStr">
        <is>
          <t>VÄSTRA GÖTALANDS LÄN</t>
        </is>
      </c>
      <c r="E3284" t="inlineStr">
        <is>
          <t>STRÖMSTAD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17577-2020</t>
        </is>
      </c>
      <c r="B3285" s="1" t="n">
        <v>43920</v>
      </c>
      <c r="C3285" s="1" t="n">
        <v>45586</v>
      </c>
      <c r="D3285" t="inlineStr">
        <is>
          <t>VÄSTRA GÖTALANDS LÄN</t>
        </is>
      </c>
      <c r="E3285" t="inlineStr">
        <is>
          <t>STRÖMSTAD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16920-2020</t>
        </is>
      </c>
      <c r="B3286" s="1" t="n">
        <v>43921</v>
      </c>
      <c r="C3286" s="1" t="n">
        <v>45586</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16909-2020</t>
        </is>
      </c>
      <c r="B3287" s="1" t="n">
        <v>43921</v>
      </c>
      <c r="C3287" s="1" t="n">
        <v>45586</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16918-2020</t>
        </is>
      </c>
      <c r="B3288" s="1" t="n">
        <v>43921</v>
      </c>
      <c r="C3288" s="1" t="n">
        <v>45586</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16837-2020</t>
        </is>
      </c>
      <c r="B3289" s="1" t="n">
        <v>43921</v>
      </c>
      <c r="C3289" s="1" t="n">
        <v>45586</v>
      </c>
      <c r="D3289" t="inlineStr">
        <is>
          <t>VÄSTRA GÖTALANDS LÄN</t>
        </is>
      </c>
      <c r="E3289" t="inlineStr">
        <is>
          <t>MARIESTAD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16785-2020</t>
        </is>
      </c>
      <c r="B3290" s="1" t="n">
        <v>43921</v>
      </c>
      <c r="C3290" s="1" t="n">
        <v>45586</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17054-2020</t>
        </is>
      </c>
      <c r="B3291" s="1" t="n">
        <v>43921</v>
      </c>
      <c r="C3291" s="1" t="n">
        <v>45586</v>
      </c>
      <c r="D3291" t="inlineStr">
        <is>
          <t>VÄSTRA GÖTALANDS LÄN</t>
        </is>
      </c>
      <c r="E3291" t="inlineStr">
        <is>
          <t>BENGTSFORS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17059-2020</t>
        </is>
      </c>
      <c r="B3292" s="1" t="n">
        <v>43921</v>
      </c>
      <c r="C3292" s="1" t="n">
        <v>45586</v>
      </c>
      <c r="D3292" t="inlineStr">
        <is>
          <t>VÄSTRA GÖTALANDS LÄN</t>
        </is>
      </c>
      <c r="E3292" t="inlineStr">
        <is>
          <t>BENGTSFORS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17066-2020</t>
        </is>
      </c>
      <c r="B3293" s="1" t="n">
        <v>43921</v>
      </c>
      <c r="C3293" s="1" t="n">
        <v>45586</v>
      </c>
      <c r="D3293" t="inlineStr">
        <is>
          <t>VÄSTRA GÖTALANDS LÄN</t>
        </is>
      </c>
      <c r="E3293" t="inlineStr">
        <is>
          <t>BORÅS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17159-2020</t>
        </is>
      </c>
      <c r="B3294" s="1" t="n">
        <v>43922</v>
      </c>
      <c r="C3294" s="1" t="n">
        <v>45586</v>
      </c>
      <c r="D3294" t="inlineStr">
        <is>
          <t>VÄSTRA GÖTALANDS LÄN</t>
        </is>
      </c>
      <c r="E3294" t="inlineStr">
        <is>
          <t>BOLLEBYGD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17247-2020</t>
        </is>
      </c>
      <c r="B3295" s="1" t="n">
        <v>43922</v>
      </c>
      <c r="C3295" s="1" t="n">
        <v>45586</v>
      </c>
      <c r="D3295" t="inlineStr">
        <is>
          <t>VÄSTRA GÖTALANDS LÄN</t>
        </is>
      </c>
      <c r="E3295" t="inlineStr">
        <is>
          <t>SVENLJUNGA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17108-2020</t>
        </is>
      </c>
      <c r="B3296" s="1" t="n">
        <v>43922</v>
      </c>
      <c r="C3296" s="1" t="n">
        <v>45586</v>
      </c>
      <c r="D3296" t="inlineStr">
        <is>
          <t>VÄSTRA GÖTALANDS LÄN</t>
        </is>
      </c>
      <c r="E3296" t="inlineStr">
        <is>
          <t>HJO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17257-2020</t>
        </is>
      </c>
      <c r="B3297" s="1" t="n">
        <v>43922</v>
      </c>
      <c r="C3297" s="1" t="n">
        <v>45586</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17321-2020</t>
        </is>
      </c>
      <c r="B3298" s="1" t="n">
        <v>43922</v>
      </c>
      <c r="C3298" s="1" t="n">
        <v>45586</v>
      </c>
      <c r="D3298" t="inlineStr">
        <is>
          <t>VÄSTRA GÖTALANDS LÄN</t>
        </is>
      </c>
      <c r="E3298" t="inlineStr">
        <is>
          <t>ALINGSÅS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17539-2020</t>
        </is>
      </c>
      <c r="B3299" s="1" t="n">
        <v>43923</v>
      </c>
      <c r="C3299" s="1" t="n">
        <v>45586</v>
      </c>
      <c r="D3299" t="inlineStr">
        <is>
          <t>VÄSTRA GÖTALANDS LÄN</t>
        </is>
      </c>
      <c r="E3299" t="inlineStr">
        <is>
          <t>DALS-ED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17507-2020</t>
        </is>
      </c>
      <c r="B3300" s="1" t="n">
        <v>43923</v>
      </c>
      <c r="C3300" s="1" t="n">
        <v>45586</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17537-2020</t>
        </is>
      </c>
      <c r="B3301" s="1" t="n">
        <v>43923</v>
      </c>
      <c r="C3301" s="1" t="n">
        <v>45586</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17385-2020</t>
        </is>
      </c>
      <c r="B3302" s="1" t="n">
        <v>43923</v>
      </c>
      <c r="C3302" s="1" t="n">
        <v>45586</v>
      </c>
      <c r="D3302" t="inlineStr">
        <is>
          <t>VÄSTRA GÖTALANDS LÄN</t>
        </is>
      </c>
      <c r="E3302" t="inlineStr">
        <is>
          <t>MARK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17471-2020</t>
        </is>
      </c>
      <c r="B3303" s="1" t="n">
        <v>43923</v>
      </c>
      <c r="C3303" s="1" t="n">
        <v>45586</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17657-2020</t>
        </is>
      </c>
      <c r="B3304" s="1" t="n">
        <v>43923</v>
      </c>
      <c r="C3304" s="1" t="n">
        <v>45586</v>
      </c>
      <c r="D3304" t="inlineStr">
        <is>
          <t>VÄSTRA GÖTALANDS LÄN</t>
        </is>
      </c>
      <c r="E3304" t="inlineStr">
        <is>
          <t>LILLA EDET</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17675-2020</t>
        </is>
      </c>
      <c r="B3305" s="1" t="n">
        <v>43923</v>
      </c>
      <c r="C3305" s="1" t="n">
        <v>45586</v>
      </c>
      <c r="D3305" t="inlineStr">
        <is>
          <t>VÄSTRA GÖTALANDS LÄN</t>
        </is>
      </c>
      <c r="E3305" t="inlineStr">
        <is>
          <t>SVENLJUNGA</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17610-2020</t>
        </is>
      </c>
      <c r="B3306" s="1" t="n">
        <v>43923</v>
      </c>
      <c r="C3306" s="1" t="n">
        <v>45586</v>
      </c>
      <c r="D3306" t="inlineStr">
        <is>
          <t>VÄSTRA GÖTALANDS LÄN</t>
        </is>
      </c>
      <c r="E3306" t="inlineStr">
        <is>
          <t>ULRICEHAMN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17874-2020</t>
        </is>
      </c>
      <c r="B3307" s="1" t="n">
        <v>43923</v>
      </c>
      <c r="C3307" s="1" t="n">
        <v>45586</v>
      </c>
      <c r="D3307" t="inlineStr">
        <is>
          <t>VÄSTRA GÖTALANDS LÄN</t>
        </is>
      </c>
      <c r="E3307" t="inlineStr">
        <is>
          <t>TANUM</t>
        </is>
      </c>
      <c r="F3307" t="inlineStr">
        <is>
          <t>Kyrkan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17659-2020</t>
        </is>
      </c>
      <c r="B3308" s="1" t="n">
        <v>43923</v>
      </c>
      <c r="C3308" s="1" t="n">
        <v>45586</v>
      </c>
      <c r="D3308" t="inlineStr">
        <is>
          <t>VÄSTRA GÖTALANDS LÄN</t>
        </is>
      </c>
      <c r="E3308" t="inlineStr">
        <is>
          <t>LILLA EDET</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17853-2020</t>
        </is>
      </c>
      <c r="B3309" s="1" t="n">
        <v>43923</v>
      </c>
      <c r="C3309" s="1" t="n">
        <v>45586</v>
      </c>
      <c r="D3309" t="inlineStr">
        <is>
          <t>VÄSTRA GÖTALANDS LÄN</t>
        </is>
      </c>
      <c r="E3309" t="inlineStr">
        <is>
          <t>ÅMÅL</t>
        </is>
      </c>
      <c r="F3309" t="inlineStr">
        <is>
          <t>Bergvik skog väst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17858-2020</t>
        </is>
      </c>
      <c r="B3310" s="1" t="n">
        <v>43923</v>
      </c>
      <c r="C3310" s="1" t="n">
        <v>45586</v>
      </c>
      <c r="D3310" t="inlineStr">
        <is>
          <t>VÄSTRA GÖTALANDS LÄN</t>
        </is>
      </c>
      <c r="E3310" t="inlineStr">
        <is>
          <t>ÅMÅL</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17748-2020</t>
        </is>
      </c>
      <c r="B3311" s="1" t="n">
        <v>43924</v>
      </c>
      <c r="C3311" s="1" t="n">
        <v>45586</v>
      </c>
      <c r="D3311" t="inlineStr">
        <is>
          <t>VÄSTRA GÖTALANDS LÄN</t>
        </is>
      </c>
      <c r="E3311" t="inlineStr">
        <is>
          <t>BENGTSFORS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17843-2020</t>
        </is>
      </c>
      <c r="B3312" s="1" t="n">
        <v>43924</v>
      </c>
      <c r="C3312" s="1" t="n">
        <v>45586</v>
      </c>
      <c r="D3312" t="inlineStr">
        <is>
          <t>VÄSTRA GÖTALANDS LÄN</t>
        </is>
      </c>
      <c r="E3312" t="inlineStr">
        <is>
          <t>TANUM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17781-2020</t>
        </is>
      </c>
      <c r="B3313" s="1" t="n">
        <v>43924</v>
      </c>
      <c r="C3313" s="1" t="n">
        <v>45586</v>
      </c>
      <c r="D3313" t="inlineStr">
        <is>
          <t>VÄSTRA GÖTALANDS LÄN</t>
        </is>
      </c>
      <c r="E3313" t="inlineStr">
        <is>
          <t>ÅMÅL</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17839-2020</t>
        </is>
      </c>
      <c r="B3314" s="1" t="n">
        <v>43924</v>
      </c>
      <c r="C3314" s="1" t="n">
        <v>45586</v>
      </c>
      <c r="D3314" t="inlineStr">
        <is>
          <t>VÄSTRA GÖTALANDS LÄN</t>
        </is>
      </c>
      <c r="E3314" t="inlineStr">
        <is>
          <t>DALS-ED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17889-2020</t>
        </is>
      </c>
      <c r="B3315" s="1" t="n">
        <v>43924</v>
      </c>
      <c r="C3315" s="1" t="n">
        <v>45586</v>
      </c>
      <c r="D3315" t="inlineStr">
        <is>
          <t>VÄSTRA GÖTALANDS LÄN</t>
        </is>
      </c>
      <c r="E3315" t="inlineStr">
        <is>
          <t>FÄRGELANDA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18078-2020</t>
        </is>
      </c>
      <c r="B3316" s="1" t="n">
        <v>43924</v>
      </c>
      <c r="C3316" s="1" t="n">
        <v>45586</v>
      </c>
      <c r="D3316" t="inlineStr">
        <is>
          <t>VÄSTRA GÖTALANDS LÄN</t>
        </is>
      </c>
      <c r="E3316" t="inlineStr">
        <is>
          <t>TÖREBODA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17770-2020</t>
        </is>
      </c>
      <c r="B3317" s="1" t="n">
        <v>43924</v>
      </c>
      <c r="C3317" s="1" t="n">
        <v>45586</v>
      </c>
      <c r="D3317" t="inlineStr">
        <is>
          <t>VÄSTRA GÖTALANDS LÄN</t>
        </is>
      </c>
      <c r="E3317" t="inlineStr">
        <is>
          <t>UDDEVALLA</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18116-2020</t>
        </is>
      </c>
      <c r="B3318" s="1" t="n">
        <v>43924</v>
      </c>
      <c r="C3318" s="1" t="n">
        <v>45586</v>
      </c>
      <c r="D3318" t="inlineStr">
        <is>
          <t>VÄSTRA GÖTALANDS LÄN</t>
        </is>
      </c>
      <c r="E3318" t="inlineStr">
        <is>
          <t>TÖREBODA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18110-2020</t>
        </is>
      </c>
      <c r="B3319" s="1" t="n">
        <v>43924</v>
      </c>
      <c r="C3319" s="1" t="n">
        <v>45586</v>
      </c>
      <c r="D3319" t="inlineStr">
        <is>
          <t>VÄSTRA GÖTALANDS LÄN</t>
        </is>
      </c>
      <c r="E3319" t="inlineStr">
        <is>
          <t>TÖREBODA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18161-2020</t>
        </is>
      </c>
      <c r="B3320" s="1" t="n">
        <v>43924</v>
      </c>
      <c r="C3320" s="1" t="n">
        <v>45586</v>
      </c>
      <c r="D3320" t="inlineStr">
        <is>
          <t>VÄSTRA GÖTALANDS LÄN</t>
        </is>
      </c>
      <c r="E3320" t="inlineStr">
        <is>
          <t>MUNKEDAL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17962-2020</t>
        </is>
      </c>
      <c r="B3321" s="1" t="n">
        <v>43925</v>
      </c>
      <c r="C3321" s="1" t="n">
        <v>45586</v>
      </c>
      <c r="D3321" t="inlineStr">
        <is>
          <t>VÄSTRA GÖTALANDS LÄN</t>
        </is>
      </c>
      <c r="E3321" t="inlineStr">
        <is>
          <t>FÄRGELANDA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17961-2020</t>
        </is>
      </c>
      <c r="B3322" s="1" t="n">
        <v>43925</v>
      </c>
      <c r="C3322" s="1" t="n">
        <v>45586</v>
      </c>
      <c r="D3322" t="inlineStr">
        <is>
          <t>VÄSTRA GÖTALANDS LÄN</t>
        </is>
      </c>
      <c r="E3322" t="inlineStr">
        <is>
          <t>FÄRGELANDA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17979-2020</t>
        </is>
      </c>
      <c r="B3323" s="1" t="n">
        <v>43926</v>
      </c>
      <c r="C3323" s="1" t="n">
        <v>45586</v>
      </c>
      <c r="D3323" t="inlineStr">
        <is>
          <t>VÄSTRA GÖTALANDS LÄN</t>
        </is>
      </c>
      <c r="E3323" t="inlineStr">
        <is>
          <t>ÅMÅL</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18042-2020</t>
        </is>
      </c>
      <c r="B3324" s="1" t="n">
        <v>43927</v>
      </c>
      <c r="C3324" s="1" t="n">
        <v>45586</v>
      </c>
      <c r="D3324" t="inlineStr">
        <is>
          <t>VÄSTRA GÖTALANDS LÄN</t>
        </is>
      </c>
      <c r="E3324" t="inlineStr">
        <is>
          <t>ALINGSÅS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18152-2020</t>
        </is>
      </c>
      <c r="B3325" s="1" t="n">
        <v>43927</v>
      </c>
      <c r="C3325" s="1" t="n">
        <v>45586</v>
      </c>
      <c r="D3325" t="inlineStr">
        <is>
          <t>VÄSTRA GÖTALANDS LÄN</t>
        </is>
      </c>
      <c r="E3325" t="inlineStr">
        <is>
          <t>DALS-ED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18199-2020</t>
        </is>
      </c>
      <c r="B3326" s="1" t="n">
        <v>43927</v>
      </c>
      <c r="C3326" s="1" t="n">
        <v>45586</v>
      </c>
      <c r="D3326" t="inlineStr">
        <is>
          <t>VÄSTRA GÖTALANDS LÄN</t>
        </is>
      </c>
      <c r="E3326" t="inlineStr">
        <is>
          <t>MARK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18218-2020</t>
        </is>
      </c>
      <c r="B3327" s="1" t="n">
        <v>43927</v>
      </c>
      <c r="C3327" s="1" t="n">
        <v>45586</v>
      </c>
      <c r="D3327" t="inlineStr">
        <is>
          <t>VÄSTRA GÖTALANDS LÄN</t>
        </is>
      </c>
      <c r="E3327" t="inlineStr">
        <is>
          <t>BOLLEBYGD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18001-2020</t>
        </is>
      </c>
      <c r="B3328" s="1" t="n">
        <v>43927</v>
      </c>
      <c r="C3328" s="1" t="n">
        <v>45586</v>
      </c>
      <c r="D3328" t="inlineStr">
        <is>
          <t>VÄSTRA GÖTALANDS LÄN</t>
        </is>
      </c>
      <c r="E3328" t="inlineStr">
        <is>
          <t>ULRICEHAMN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18195-2020</t>
        </is>
      </c>
      <c r="B3329" s="1" t="n">
        <v>43927</v>
      </c>
      <c r="C3329" s="1" t="n">
        <v>45586</v>
      </c>
      <c r="D3329" t="inlineStr">
        <is>
          <t>VÄSTRA GÖTALANDS LÄN</t>
        </is>
      </c>
      <c r="E3329" t="inlineStr">
        <is>
          <t>BORÅS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18521-2020</t>
        </is>
      </c>
      <c r="B3330" s="1" t="n">
        <v>43927</v>
      </c>
      <c r="C3330" s="1" t="n">
        <v>45586</v>
      </c>
      <c r="D3330" t="inlineStr">
        <is>
          <t>VÄSTRA GÖTALANDS LÄN</t>
        </is>
      </c>
      <c r="E3330" t="inlineStr">
        <is>
          <t>BENGTSFORS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18280-2020</t>
        </is>
      </c>
      <c r="B3331" s="1" t="n">
        <v>43928</v>
      </c>
      <c r="C3331" s="1" t="n">
        <v>45586</v>
      </c>
      <c r="D3331" t="inlineStr">
        <is>
          <t>VÄSTRA GÖTALANDS LÄN</t>
        </is>
      </c>
      <c r="E3331" t="inlineStr">
        <is>
          <t>LIDKÖPING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18317-2020</t>
        </is>
      </c>
      <c r="B3332" s="1" t="n">
        <v>43928</v>
      </c>
      <c r="C3332" s="1" t="n">
        <v>45586</v>
      </c>
      <c r="D3332" t="inlineStr">
        <is>
          <t>VÄSTRA GÖTALANDS LÄN</t>
        </is>
      </c>
      <c r="E3332" t="inlineStr">
        <is>
          <t>ALINGSÅS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18410-2020</t>
        </is>
      </c>
      <c r="B3333" s="1" t="n">
        <v>43928</v>
      </c>
      <c r="C3333" s="1" t="n">
        <v>45586</v>
      </c>
      <c r="D3333" t="inlineStr">
        <is>
          <t>VÄSTRA GÖTALANDS LÄN</t>
        </is>
      </c>
      <c r="E3333" t="inlineStr">
        <is>
          <t>UDDEVALLA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18353-2020</t>
        </is>
      </c>
      <c r="B3334" s="1" t="n">
        <v>43928</v>
      </c>
      <c r="C3334" s="1" t="n">
        <v>45586</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18399-2020</t>
        </is>
      </c>
      <c r="B3335" s="1" t="n">
        <v>43928</v>
      </c>
      <c r="C3335" s="1" t="n">
        <v>45586</v>
      </c>
      <c r="D3335" t="inlineStr">
        <is>
          <t>VÄSTRA GÖTALANDS LÄN</t>
        </is>
      </c>
      <c r="E3335" t="inlineStr">
        <is>
          <t>SKÖVDE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18407-2020</t>
        </is>
      </c>
      <c r="B3336" s="1" t="n">
        <v>43928</v>
      </c>
      <c r="C3336" s="1" t="n">
        <v>45586</v>
      </c>
      <c r="D3336" t="inlineStr">
        <is>
          <t>VÄSTRA GÖTALANDS LÄN</t>
        </is>
      </c>
      <c r="E3336" t="inlineStr">
        <is>
          <t>BENGTSFORS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18479-2020</t>
        </is>
      </c>
      <c r="B3337" s="1" t="n">
        <v>43929</v>
      </c>
      <c r="C3337" s="1" t="n">
        <v>45586</v>
      </c>
      <c r="D3337" t="inlineStr">
        <is>
          <t>VÄSTRA GÖTALANDS LÄN</t>
        </is>
      </c>
      <c r="E3337" t="inlineStr">
        <is>
          <t>ULRICEHAMN</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18564-2020</t>
        </is>
      </c>
      <c r="B3338" s="1" t="n">
        <v>43929</v>
      </c>
      <c r="C3338" s="1" t="n">
        <v>45586</v>
      </c>
      <c r="D3338" t="inlineStr">
        <is>
          <t>VÄSTRA GÖTALANDS LÄN</t>
        </is>
      </c>
      <c r="E3338" t="inlineStr">
        <is>
          <t>GÖTENE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18463-2020</t>
        </is>
      </c>
      <c r="B3339" s="1" t="n">
        <v>43929</v>
      </c>
      <c r="C3339" s="1" t="n">
        <v>45586</v>
      </c>
      <c r="D3339" t="inlineStr">
        <is>
          <t>VÄSTRA GÖTALANDS LÄN</t>
        </is>
      </c>
      <c r="E3339" t="inlineStr">
        <is>
          <t>FÄRGELANDA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18485-2020</t>
        </is>
      </c>
      <c r="B3340" s="1" t="n">
        <v>43929</v>
      </c>
      <c r="C3340" s="1" t="n">
        <v>45586</v>
      </c>
      <c r="D3340" t="inlineStr">
        <is>
          <t>VÄSTRA GÖTALANDS LÄN</t>
        </is>
      </c>
      <c r="E3340" t="inlineStr">
        <is>
          <t>LIDKÖPING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18847-2020</t>
        </is>
      </c>
      <c r="B3341" s="1" t="n">
        <v>43929</v>
      </c>
      <c r="C3341" s="1" t="n">
        <v>45586</v>
      </c>
      <c r="D3341" t="inlineStr">
        <is>
          <t>VÄSTRA GÖTALANDS LÄN</t>
        </is>
      </c>
      <c r="E3341" t="inlineStr">
        <is>
          <t>HÄRRYDA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18849-2020</t>
        </is>
      </c>
      <c r="B3342" s="1" t="n">
        <v>43929</v>
      </c>
      <c r="C3342" s="1" t="n">
        <v>45586</v>
      </c>
      <c r="D3342" t="inlineStr">
        <is>
          <t>VÄSTRA GÖTALANDS LÄN</t>
        </is>
      </c>
      <c r="E3342" t="inlineStr">
        <is>
          <t>HÄRRYDA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18623-2020</t>
        </is>
      </c>
      <c r="B3343" s="1" t="n">
        <v>43930</v>
      </c>
      <c r="C3343" s="1" t="n">
        <v>45586</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18685-2020</t>
        </is>
      </c>
      <c r="B3344" s="1" t="n">
        <v>43930</v>
      </c>
      <c r="C3344" s="1" t="n">
        <v>45586</v>
      </c>
      <c r="D3344" t="inlineStr">
        <is>
          <t>VÄSTRA GÖTALANDS LÄN</t>
        </is>
      </c>
      <c r="E3344" t="inlineStr">
        <is>
          <t>GRÄSTORP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18697-2020</t>
        </is>
      </c>
      <c r="B3345" s="1" t="n">
        <v>43930</v>
      </c>
      <c r="C3345" s="1" t="n">
        <v>45586</v>
      </c>
      <c r="D3345" t="inlineStr">
        <is>
          <t>VÄSTRA GÖTALANDS LÄN</t>
        </is>
      </c>
      <c r="E3345" t="inlineStr">
        <is>
          <t>GRÄSTORP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18715-2020</t>
        </is>
      </c>
      <c r="B3346" s="1" t="n">
        <v>43930</v>
      </c>
      <c r="C3346" s="1" t="n">
        <v>45586</v>
      </c>
      <c r="D3346" t="inlineStr">
        <is>
          <t>VÄSTRA GÖTALANDS LÄN</t>
        </is>
      </c>
      <c r="E3346" t="inlineStr">
        <is>
          <t>MELLERUD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18700-2020</t>
        </is>
      </c>
      <c r="B3347" s="1" t="n">
        <v>43930</v>
      </c>
      <c r="C3347" s="1" t="n">
        <v>45586</v>
      </c>
      <c r="D3347" t="inlineStr">
        <is>
          <t>VÄSTRA GÖTALANDS LÄN</t>
        </is>
      </c>
      <c r="E3347" t="inlineStr">
        <is>
          <t>VARA</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18745-2020</t>
        </is>
      </c>
      <c r="B3348" s="1" t="n">
        <v>43930</v>
      </c>
      <c r="C3348" s="1" t="n">
        <v>45586</v>
      </c>
      <c r="D3348" t="inlineStr">
        <is>
          <t>VÄSTRA GÖTALANDS LÄN</t>
        </is>
      </c>
      <c r="E3348" t="inlineStr">
        <is>
          <t>TIDAHOLM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18750-2020</t>
        </is>
      </c>
      <c r="B3349" s="1" t="n">
        <v>43930</v>
      </c>
      <c r="C3349" s="1" t="n">
        <v>45586</v>
      </c>
      <c r="D3349" t="inlineStr">
        <is>
          <t>VÄSTRA GÖTALANDS LÄN</t>
        </is>
      </c>
      <c r="E3349" t="inlineStr">
        <is>
          <t>LIDKÖPING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18756-2020</t>
        </is>
      </c>
      <c r="B3350" s="1" t="n">
        <v>43930</v>
      </c>
      <c r="C3350" s="1" t="n">
        <v>45586</v>
      </c>
      <c r="D3350" t="inlineStr">
        <is>
          <t>VÄSTRA GÖTALANDS LÄN</t>
        </is>
      </c>
      <c r="E3350" t="inlineStr">
        <is>
          <t>LIDKÖPING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18727-2020</t>
        </is>
      </c>
      <c r="B3351" s="1" t="n">
        <v>43930</v>
      </c>
      <c r="C3351" s="1" t="n">
        <v>45586</v>
      </c>
      <c r="D3351" t="inlineStr">
        <is>
          <t>VÄSTRA GÖTALANDS LÄN</t>
        </is>
      </c>
      <c r="E3351" t="inlineStr">
        <is>
          <t>VARA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18752-2020</t>
        </is>
      </c>
      <c r="B3352" s="1" t="n">
        <v>43930</v>
      </c>
      <c r="C3352" s="1" t="n">
        <v>45586</v>
      </c>
      <c r="D3352" t="inlineStr">
        <is>
          <t>VÄSTRA GÖTALANDS LÄN</t>
        </is>
      </c>
      <c r="E3352" t="inlineStr">
        <is>
          <t>LIDKÖPING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18694-2020</t>
        </is>
      </c>
      <c r="B3353" s="1" t="n">
        <v>43930</v>
      </c>
      <c r="C3353" s="1" t="n">
        <v>45586</v>
      </c>
      <c r="D3353" t="inlineStr">
        <is>
          <t>VÄSTRA GÖTALANDS LÄN</t>
        </is>
      </c>
      <c r="E3353" t="inlineStr">
        <is>
          <t>BORÅS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18738-2020</t>
        </is>
      </c>
      <c r="B3354" s="1" t="n">
        <v>43930</v>
      </c>
      <c r="C3354" s="1" t="n">
        <v>45586</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18794-2020</t>
        </is>
      </c>
      <c r="B3355" s="1" t="n">
        <v>43932</v>
      </c>
      <c r="C3355" s="1" t="n">
        <v>45586</v>
      </c>
      <c r="D3355" t="inlineStr">
        <is>
          <t>VÄSTRA GÖTALANDS LÄN</t>
        </is>
      </c>
      <c r="E3355" t="inlineStr">
        <is>
          <t>MUNKEDAL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18801-2020</t>
        </is>
      </c>
      <c r="B3356" s="1" t="n">
        <v>43933</v>
      </c>
      <c r="C3356" s="1" t="n">
        <v>45586</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18932-2020</t>
        </is>
      </c>
      <c r="B3357" s="1" t="n">
        <v>43935</v>
      </c>
      <c r="C3357" s="1" t="n">
        <v>45586</v>
      </c>
      <c r="D3357" t="inlineStr">
        <is>
          <t>VÄSTRA GÖTALANDS LÄN</t>
        </is>
      </c>
      <c r="E3357" t="inlineStr">
        <is>
          <t>LIDKÖPING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18962-2020</t>
        </is>
      </c>
      <c r="B3358" s="1" t="n">
        <v>43935</v>
      </c>
      <c r="C3358" s="1" t="n">
        <v>45586</v>
      </c>
      <c r="D3358" t="inlineStr">
        <is>
          <t>VÄSTRA GÖTALANDS LÄN</t>
        </is>
      </c>
      <c r="E3358" t="inlineStr">
        <is>
          <t>LIDKÖPING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18951-2020</t>
        </is>
      </c>
      <c r="B3359" s="1" t="n">
        <v>43935</v>
      </c>
      <c r="C3359" s="1" t="n">
        <v>45586</v>
      </c>
      <c r="D3359" t="inlineStr">
        <is>
          <t>VÄSTRA GÖTALANDS LÄN</t>
        </is>
      </c>
      <c r="E3359" t="inlineStr">
        <is>
          <t>MARIESTAD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18880-2020</t>
        </is>
      </c>
      <c r="B3360" s="1" t="n">
        <v>43935</v>
      </c>
      <c r="C3360" s="1" t="n">
        <v>45586</v>
      </c>
      <c r="D3360" t="inlineStr">
        <is>
          <t>VÄSTRA GÖTALANDS LÄN</t>
        </is>
      </c>
      <c r="E3360" t="inlineStr">
        <is>
          <t>BORÅS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18917-2020</t>
        </is>
      </c>
      <c r="B3361" s="1" t="n">
        <v>43935</v>
      </c>
      <c r="C3361" s="1" t="n">
        <v>45586</v>
      </c>
      <c r="D3361" t="inlineStr">
        <is>
          <t>VÄSTRA GÖTALANDS LÄN</t>
        </is>
      </c>
      <c r="E3361" t="inlineStr">
        <is>
          <t>LIDKÖPING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18940-2020</t>
        </is>
      </c>
      <c r="B3362" s="1" t="n">
        <v>43935</v>
      </c>
      <c r="C3362" s="1" t="n">
        <v>45586</v>
      </c>
      <c r="D3362" t="inlineStr">
        <is>
          <t>VÄSTRA GÖTALANDS LÄN</t>
        </is>
      </c>
      <c r="E3362" t="inlineStr">
        <is>
          <t>GRÄSTORP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18948-2020</t>
        </is>
      </c>
      <c r="B3363" s="1" t="n">
        <v>43935</v>
      </c>
      <c r="C3363" s="1" t="n">
        <v>45586</v>
      </c>
      <c r="D3363" t="inlineStr">
        <is>
          <t>VÄSTRA GÖTALANDS LÄN</t>
        </is>
      </c>
      <c r="E3363" t="inlineStr">
        <is>
          <t>LIDKÖPING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18964-2020</t>
        </is>
      </c>
      <c r="B3364" s="1" t="n">
        <v>43935</v>
      </c>
      <c r="C3364" s="1" t="n">
        <v>45586</v>
      </c>
      <c r="D3364" t="inlineStr">
        <is>
          <t>VÄSTRA GÖTALANDS LÄN</t>
        </is>
      </c>
      <c r="E3364" t="inlineStr">
        <is>
          <t>SOTENÄS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19092-2020</t>
        </is>
      </c>
      <c r="B3365" s="1" t="n">
        <v>43935</v>
      </c>
      <c r="C3365" s="1" t="n">
        <v>45586</v>
      </c>
      <c r="D3365" t="inlineStr">
        <is>
          <t>VÄSTRA GÖTALANDS LÄN</t>
        </is>
      </c>
      <c r="E3365" t="inlineStr">
        <is>
          <t>VÅRGÅRDA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19106-2020</t>
        </is>
      </c>
      <c r="B3366" s="1" t="n">
        <v>43935</v>
      </c>
      <c r="C3366" s="1" t="n">
        <v>45586</v>
      </c>
      <c r="D3366" t="inlineStr">
        <is>
          <t>VÄSTRA GÖTALANDS LÄN</t>
        </is>
      </c>
      <c r="E3366" t="inlineStr">
        <is>
          <t>VARA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19012-2020</t>
        </is>
      </c>
      <c r="B3367" s="1" t="n">
        <v>43936</v>
      </c>
      <c r="C3367" s="1" t="n">
        <v>45586</v>
      </c>
      <c r="D3367" t="inlineStr">
        <is>
          <t>VÄSTRA GÖTALANDS LÄN</t>
        </is>
      </c>
      <c r="E3367" t="inlineStr">
        <is>
          <t>KARLSBORG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19066-2020</t>
        </is>
      </c>
      <c r="B3368" s="1" t="n">
        <v>43936</v>
      </c>
      <c r="C3368" s="1" t="n">
        <v>45586</v>
      </c>
      <c r="D3368" t="inlineStr">
        <is>
          <t>VÄSTRA GÖTALANDS LÄN</t>
        </is>
      </c>
      <c r="E3368" t="inlineStr">
        <is>
          <t>GÖTEBORG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19017-2020</t>
        </is>
      </c>
      <c r="B3369" s="1" t="n">
        <v>43936</v>
      </c>
      <c r="C3369" s="1" t="n">
        <v>45586</v>
      </c>
      <c r="D3369" t="inlineStr">
        <is>
          <t>VÄSTRA GÖTALANDS LÄN</t>
        </is>
      </c>
      <c r="E3369" t="inlineStr">
        <is>
          <t>TROLLHÄTTAN</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19030-2020</t>
        </is>
      </c>
      <c r="B3370" s="1" t="n">
        <v>43936</v>
      </c>
      <c r="C3370" s="1" t="n">
        <v>45586</v>
      </c>
      <c r="D3370" t="inlineStr">
        <is>
          <t>VÄSTRA GÖTALANDS LÄN</t>
        </is>
      </c>
      <c r="E3370" t="inlineStr">
        <is>
          <t>BENGTSFORS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19018-2020</t>
        </is>
      </c>
      <c r="B3371" s="1" t="n">
        <v>43936</v>
      </c>
      <c r="C3371" s="1" t="n">
        <v>45586</v>
      </c>
      <c r="D3371" t="inlineStr">
        <is>
          <t>VÄSTRA GÖTALANDS LÄN</t>
        </is>
      </c>
      <c r="E3371" t="inlineStr">
        <is>
          <t>LYSEKIL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19008-2020</t>
        </is>
      </c>
      <c r="B3372" s="1" t="n">
        <v>43936</v>
      </c>
      <c r="C3372" s="1" t="n">
        <v>45586</v>
      </c>
      <c r="D3372" t="inlineStr">
        <is>
          <t>VÄSTRA GÖTALANDS LÄN</t>
        </is>
      </c>
      <c r="E3372" t="inlineStr">
        <is>
          <t>ALINGSÅS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19143-2020</t>
        </is>
      </c>
      <c r="B3373" s="1" t="n">
        <v>43936</v>
      </c>
      <c r="C3373" s="1" t="n">
        <v>45586</v>
      </c>
      <c r="D3373" t="inlineStr">
        <is>
          <t>VÄSTRA GÖTALANDS LÄN</t>
        </is>
      </c>
      <c r="E3373" t="inlineStr">
        <is>
          <t>TRANEMO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19132-2020</t>
        </is>
      </c>
      <c r="B3374" s="1" t="n">
        <v>43936</v>
      </c>
      <c r="C3374" s="1" t="n">
        <v>45586</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19283-2020</t>
        </is>
      </c>
      <c r="B3375" s="1" t="n">
        <v>43937</v>
      </c>
      <c r="C3375" s="1" t="n">
        <v>45586</v>
      </c>
      <c r="D3375" t="inlineStr">
        <is>
          <t>VÄSTRA GÖTALANDS LÄN</t>
        </is>
      </c>
      <c r="E3375" t="inlineStr">
        <is>
          <t>SVENLJUNGA</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19259-2020</t>
        </is>
      </c>
      <c r="B3376" s="1" t="n">
        <v>43937</v>
      </c>
      <c r="C3376" s="1" t="n">
        <v>45586</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19248-2020</t>
        </is>
      </c>
      <c r="B3377" s="1" t="n">
        <v>43937</v>
      </c>
      <c r="C3377" s="1" t="n">
        <v>45586</v>
      </c>
      <c r="D3377" t="inlineStr">
        <is>
          <t>VÄSTRA GÖTALANDS LÄN</t>
        </is>
      </c>
      <c r="E3377" t="inlineStr">
        <is>
          <t>HERRLJUNGA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19273-2020</t>
        </is>
      </c>
      <c r="B3378" s="1" t="n">
        <v>43937</v>
      </c>
      <c r="C3378" s="1" t="n">
        <v>45586</v>
      </c>
      <c r="D3378" t="inlineStr">
        <is>
          <t>VÄSTRA GÖTALANDS LÄN</t>
        </is>
      </c>
      <c r="E3378" t="inlineStr">
        <is>
          <t>ÅMÅL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19424-2020</t>
        </is>
      </c>
      <c r="B3379" s="1" t="n">
        <v>43938</v>
      </c>
      <c r="C3379" s="1" t="n">
        <v>45586</v>
      </c>
      <c r="D3379" t="inlineStr">
        <is>
          <t>VÄSTRA GÖTALANDS LÄN</t>
        </is>
      </c>
      <c r="E3379" t="inlineStr">
        <is>
          <t>BENGTSFORS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19429-2020</t>
        </is>
      </c>
      <c r="B3380" s="1" t="n">
        <v>43938</v>
      </c>
      <c r="C3380" s="1" t="n">
        <v>45586</v>
      </c>
      <c r="D3380" t="inlineStr">
        <is>
          <t>VÄSTRA GÖTALANDS LÄN</t>
        </is>
      </c>
      <c r="E3380" t="inlineStr">
        <is>
          <t>BENGTSFORS</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19441-2020</t>
        </is>
      </c>
      <c r="B3381" s="1" t="n">
        <v>43938</v>
      </c>
      <c r="C3381" s="1" t="n">
        <v>45586</v>
      </c>
      <c r="D3381" t="inlineStr">
        <is>
          <t>VÄSTRA GÖTALANDS LÄN</t>
        </is>
      </c>
      <c r="E3381" t="inlineStr">
        <is>
          <t>ALINGSÅS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19448-2020</t>
        </is>
      </c>
      <c r="B3382" s="1" t="n">
        <v>43938</v>
      </c>
      <c r="C3382" s="1" t="n">
        <v>45586</v>
      </c>
      <c r="D3382" t="inlineStr">
        <is>
          <t>VÄSTRA GÖTALANDS LÄN</t>
        </is>
      </c>
      <c r="E3382" t="inlineStr">
        <is>
          <t>SKÖVDE</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19833-2020</t>
        </is>
      </c>
      <c r="B3383" s="1" t="n">
        <v>43938</v>
      </c>
      <c r="C3383" s="1" t="n">
        <v>45586</v>
      </c>
      <c r="D3383" t="inlineStr">
        <is>
          <t>VÄSTRA GÖTALANDS LÄN</t>
        </is>
      </c>
      <c r="E3383" t="inlineStr">
        <is>
          <t>FÄRGELANDA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19436-2020</t>
        </is>
      </c>
      <c r="B3384" s="1" t="n">
        <v>43938</v>
      </c>
      <c r="C3384" s="1" t="n">
        <v>45586</v>
      </c>
      <c r="D3384" t="inlineStr">
        <is>
          <t>VÄSTRA GÖTALANDS LÄN</t>
        </is>
      </c>
      <c r="E3384" t="inlineStr">
        <is>
          <t>GÖTEBORG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19534-2020</t>
        </is>
      </c>
      <c r="B3385" s="1" t="n">
        <v>43941</v>
      </c>
      <c r="C3385" s="1" t="n">
        <v>45586</v>
      </c>
      <c r="D3385" t="inlineStr">
        <is>
          <t>VÄSTRA GÖTALANDS LÄN</t>
        </is>
      </c>
      <c r="E3385" t="inlineStr">
        <is>
          <t>ALINGSÅS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19718-2020</t>
        </is>
      </c>
      <c r="B3386" s="1" t="n">
        <v>43941</v>
      </c>
      <c r="C3386" s="1" t="n">
        <v>45586</v>
      </c>
      <c r="D3386" t="inlineStr">
        <is>
          <t>VÄSTRA GÖTALANDS LÄN</t>
        </is>
      </c>
      <c r="E3386" t="inlineStr">
        <is>
          <t>LILLA EDET</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19883-2020</t>
        </is>
      </c>
      <c r="B3387" s="1" t="n">
        <v>43941</v>
      </c>
      <c r="C3387" s="1" t="n">
        <v>45586</v>
      </c>
      <c r="D3387" t="inlineStr">
        <is>
          <t>VÄSTRA GÖTALANDS LÄN</t>
        </is>
      </c>
      <c r="E3387" t="inlineStr">
        <is>
          <t>TJÖRN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19806-2020</t>
        </is>
      </c>
      <c r="B3388" s="1" t="n">
        <v>43942</v>
      </c>
      <c r="C3388" s="1" t="n">
        <v>45586</v>
      </c>
      <c r="D3388" t="inlineStr">
        <is>
          <t>VÄSTRA GÖTALANDS LÄN</t>
        </is>
      </c>
      <c r="E3388" t="inlineStr">
        <is>
          <t>BOLLEBYGD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19800-2020</t>
        </is>
      </c>
      <c r="B3389" s="1" t="n">
        <v>43942</v>
      </c>
      <c r="C3389" s="1" t="n">
        <v>45586</v>
      </c>
      <c r="D3389" t="inlineStr">
        <is>
          <t>VÄSTRA GÖTALANDS LÄN</t>
        </is>
      </c>
      <c r="E3389" t="inlineStr">
        <is>
          <t>MARIESTAD</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19811-2020</t>
        </is>
      </c>
      <c r="B3390" s="1" t="n">
        <v>43942</v>
      </c>
      <c r="C3390" s="1" t="n">
        <v>45586</v>
      </c>
      <c r="D3390" t="inlineStr">
        <is>
          <t>VÄSTRA GÖTALANDS LÄN</t>
        </is>
      </c>
      <c r="E3390" t="inlineStr">
        <is>
          <t>FÄRGELANDA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19816-2020</t>
        </is>
      </c>
      <c r="B3391" s="1" t="n">
        <v>43942</v>
      </c>
      <c r="C3391" s="1" t="n">
        <v>45586</v>
      </c>
      <c r="D3391" t="inlineStr">
        <is>
          <t>VÄSTRA GÖTALANDS LÄN</t>
        </is>
      </c>
      <c r="E3391" t="inlineStr">
        <is>
          <t>ORUST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19975-2020</t>
        </is>
      </c>
      <c r="B3392" s="1" t="n">
        <v>43942</v>
      </c>
      <c r="C3392" s="1" t="n">
        <v>45586</v>
      </c>
      <c r="D3392" t="inlineStr">
        <is>
          <t>VÄSTRA GÖTALANDS LÄN</t>
        </is>
      </c>
      <c r="E3392" t="inlineStr">
        <is>
          <t>BORÅS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19884-2020</t>
        </is>
      </c>
      <c r="B3393" s="1" t="n">
        <v>43942</v>
      </c>
      <c r="C3393" s="1" t="n">
        <v>45586</v>
      </c>
      <c r="D3393" t="inlineStr">
        <is>
          <t>VÄSTRA GÖTALANDS LÄN</t>
        </is>
      </c>
      <c r="E3393" t="inlineStr">
        <is>
          <t>TROLLHÄTTAN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19999-2020</t>
        </is>
      </c>
      <c r="B3394" s="1" t="n">
        <v>43943</v>
      </c>
      <c r="C3394" s="1" t="n">
        <v>45586</v>
      </c>
      <c r="D3394" t="inlineStr">
        <is>
          <t>VÄSTRA GÖTALANDS LÄN</t>
        </is>
      </c>
      <c r="E3394" t="inlineStr">
        <is>
          <t>VARA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20013-2020</t>
        </is>
      </c>
      <c r="B3395" s="1" t="n">
        <v>43943</v>
      </c>
      <c r="C3395" s="1" t="n">
        <v>45586</v>
      </c>
      <c r="D3395" t="inlineStr">
        <is>
          <t>VÄSTRA GÖTALANDS LÄN</t>
        </is>
      </c>
      <c r="E3395" t="inlineStr">
        <is>
          <t>MUNKEDAL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20060-2020</t>
        </is>
      </c>
      <c r="B3396" s="1" t="n">
        <v>43943</v>
      </c>
      <c r="C3396" s="1" t="n">
        <v>45586</v>
      </c>
      <c r="D3396" t="inlineStr">
        <is>
          <t>VÄSTRA GÖTALANDS LÄN</t>
        </is>
      </c>
      <c r="E3396" t="inlineStr">
        <is>
          <t>MARK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20101-2020</t>
        </is>
      </c>
      <c r="B3397" s="1" t="n">
        <v>43944</v>
      </c>
      <c r="C3397" s="1" t="n">
        <v>45586</v>
      </c>
      <c r="D3397" t="inlineStr">
        <is>
          <t>VÄSTRA GÖTALANDS LÄN</t>
        </is>
      </c>
      <c r="E3397" t="inlineStr">
        <is>
          <t>ALINGSÅS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20149-2020</t>
        </is>
      </c>
      <c r="B3398" s="1" t="n">
        <v>43944</v>
      </c>
      <c r="C3398" s="1" t="n">
        <v>45586</v>
      </c>
      <c r="D3398" t="inlineStr">
        <is>
          <t>VÄSTRA GÖTALANDS LÄN</t>
        </is>
      </c>
      <c r="E3398" t="inlineStr">
        <is>
          <t>VÅRGÅRDA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20178-2020</t>
        </is>
      </c>
      <c r="B3399" s="1" t="n">
        <v>43944</v>
      </c>
      <c r="C3399" s="1" t="n">
        <v>45586</v>
      </c>
      <c r="D3399" t="inlineStr">
        <is>
          <t>VÄSTRA GÖTALANDS LÄN</t>
        </is>
      </c>
      <c r="E3399" t="inlineStr">
        <is>
          <t>BENGTSFORS</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20209-2020</t>
        </is>
      </c>
      <c r="B3400" s="1" t="n">
        <v>43944</v>
      </c>
      <c r="C3400" s="1" t="n">
        <v>45586</v>
      </c>
      <c r="D3400" t="inlineStr">
        <is>
          <t>VÄSTRA GÖTALANDS LÄN</t>
        </is>
      </c>
      <c r="E3400" t="inlineStr">
        <is>
          <t>GULLSPÅNG</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20214-2020</t>
        </is>
      </c>
      <c r="B3401" s="1" t="n">
        <v>43944</v>
      </c>
      <c r="C3401" s="1" t="n">
        <v>45586</v>
      </c>
      <c r="D3401" t="inlineStr">
        <is>
          <t>VÄSTRA GÖTALANDS LÄN</t>
        </is>
      </c>
      <c r="E3401" t="inlineStr">
        <is>
          <t>HJO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20210-2020</t>
        </is>
      </c>
      <c r="B3402" s="1" t="n">
        <v>43944</v>
      </c>
      <c r="C3402" s="1" t="n">
        <v>45586</v>
      </c>
      <c r="D3402" t="inlineStr">
        <is>
          <t>VÄSTRA GÖTALANDS LÄN</t>
        </is>
      </c>
      <c r="E3402" t="inlineStr">
        <is>
          <t>GULLSPÅNG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20176-2020</t>
        </is>
      </c>
      <c r="B3403" s="1" t="n">
        <v>43944</v>
      </c>
      <c r="C3403" s="1" t="n">
        <v>45586</v>
      </c>
      <c r="D3403" t="inlineStr">
        <is>
          <t>VÄSTRA GÖTALANDS LÄN</t>
        </is>
      </c>
      <c r="E3403" t="inlineStr">
        <is>
          <t>BORÅS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20857-2020</t>
        </is>
      </c>
      <c r="B3404" s="1" t="n">
        <v>43944</v>
      </c>
      <c r="C3404" s="1" t="n">
        <v>45586</v>
      </c>
      <c r="D3404" t="inlineStr">
        <is>
          <t>VÄSTRA GÖTALANDS LÄN</t>
        </is>
      </c>
      <c r="E3404" t="inlineStr">
        <is>
          <t>BENGTSFORS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20212-2020</t>
        </is>
      </c>
      <c r="B3405" s="1" t="n">
        <v>43944</v>
      </c>
      <c r="C3405" s="1" t="n">
        <v>45586</v>
      </c>
      <c r="D3405" t="inlineStr">
        <is>
          <t>VÄSTRA GÖTALANDS LÄN</t>
        </is>
      </c>
      <c r="E3405" t="inlineStr">
        <is>
          <t>HJO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20265-2020</t>
        </is>
      </c>
      <c r="B3406" s="1" t="n">
        <v>43945</v>
      </c>
      <c r="C3406" s="1" t="n">
        <v>45586</v>
      </c>
      <c r="D3406" t="inlineStr">
        <is>
          <t>VÄSTRA GÖTALANDS LÄN</t>
        </is>
      </c>
      <c r="E3406" t="inlineStr">
        <is>
          <t>DALS-ED</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20448-2020</t>
        </is>
      </c>
      <c r="B3407" s="1" t="n">
        <v>43945</v>
      </c>
      <c r="C3407" s="1" t="n">
        <v>45586</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20471-2020</t>
        </is>
      </c>
      <c r="B3408" s="1" t="n">
        <v>43945</v>
      </c>
      <c r="C3408" s="1" t="n">
        <v>45586</v>
      </c>
      <c r="D3408" t="inlineStr">
        <is>
          <t>VÄSTRA GÖTALANDS LÄN</t>
        </is>
      </c>
      <c r="E3408" t="inlineStr">
        <is>
          <t>MUNKEDAL</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20306-2020</t>
        </is>
      </c>
      <c r="B3409" s="1" t="n">
        <v>43945</v>
      </c>
      <c r="C3409" s="1" t="n">
        <v>45586</v>
      </c>
      <c r="D3409" t="inlineStr">
        <is>
          <t>VÄSTRA GÖTALANDS LÄN</t>
        </is>
      </c>
      <c r="E3409" t="inlineStr">
        <is>
          <t>BOLLEBYGD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20349-2020</t>
        </is>
      </c>
      <c r="B3410" s="1" t="n">
        <v>43945</v>
      </c>
      <c r="C3410" s="1" t="n">
        <v>45586</v>
      </c>
      <c r="D3410" t="inlineStr">
        <is>
          <t>VÄSTRA GÖTALANDS LÄN</t>
        </is>
      </c>
      <c r="E3410" t="inlineStr">
        <is>
          <t>VÄNERSBORG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20470-2020</t>
        </is>
      </c>
      <c r="B3411" s="1" t="n">
        <v>43945</v>
      </c>
      <c r="C3411" s="1" t="n">
        <v>45586</v>
      </c>
      <c r="D3411" t="inlineStr">
        <is>
          <t>VÄSTRA GÖTALANDS LÄN</t>
        </is>
      </c>
      <c r="E3411" t="inlineStr">
        <is>
          <t>DALS-ED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20446-2020</t>
        </is>
      </c>
      <c r="B3412" s="1" t="n">
        <v>43948</v>
      </c>
      <c r="C3412" s="1" t="n">
        <v>45586</v>
      </c>
      <c r="D3412" t="inlineStr">
        <is>
          <t>VÄSTRA GÖTALANDS LÄN</t>
        </is>
      </c>
      <c r="E3412" t="inlineStr">
        <is>
          <t>TÖREBODA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20488-2020</t>
        </is>
      </c>
      <c r="B3413" s="1" t="n">
        <v>43948</v>
      </c>
      <c r="C3413" s="1" t="n">
        <v>45586</v>
      </c>
      <c r="D3413" t="inlineStr">
        <is>
          <t>VÄSTRA GÖTALANDS LÄN</t>
        </is>
      </c>
      <c r="E3413" t="inlineStr">
        <is>
          <t>TRANEMO</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20675-2020</t>
        </is>
      </c>
      <c r="B3414" s="1" t="n">
        <v>43949</v>
      </c>
      <c r="C3414" s="1" t="n">
        <v>45586</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20759-2020</t>
        </is>
      </c>
      <c r="B3415" s="1" t="n">
        <v>43949</v>
      </c>
      <c r="C3415" s="1" t="n">
        <v>45586</v>
      </c>
      <c r="D3415" t="inlineStr">
        <is>
          <t>VÄSTRA GÖTALANDS LÄN</t>
        </is>
      </c>
      <c r="E3415" t="inlineStr">
        <is>
          <t>GULLSPÅNG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20689-2020</t>
        </is>
      </c>
      <c r="B3416" s="1" t="n">
        <v>43949</v>
      </c>
      <c r="C3416" s="1" t="n">
        <v>45586</v>
      </c>
      <c r="D3416" t="inlineStr">
        <is>
          <t>VÄSTRA GÖTALANDS LÄN</t>
        </is>
      </c>
      <c r="E3416" t="inlineStr">
        <is>
          <t>TÖREBODA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20634-2020</t>
        </is>
      </c>
      <c r="B3417" s="1" t="n">
        <v>43949</v>
      </c>
      <c r="C3417" s="1" t="n">
        <v>45586</v>
      </c>
      <c r="D3417" t="inlineStr">
        <is>
          <t>VÄSTRA GÖTALANDS LÄN</t>
        </is>
      </c>
      <c r="E3417" t="inlineStr">
        <is>
          <t>FÄRGELANDA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20698-2020</t>
        </is>
      </c>
      <c r="B3418" s="1" t="n">
        <v>43949</v>
      </c>
      <c r="C3418" s="1" t="n">
        <v>45586</v>
      </c>
      <c r="D3418" t="inlineStr">
        <is>
          <t>VÄSTRA GÖTALANDS LÄN</t>
        </is>
      </c>
      <c r="E3418" t="inlineStr">
        <is>
          <t>LERUM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20743-2020</t>
        </is>
      </c>
      <c r="B3419" s="1" t="n">
        <v>43949</v>
      </c>
      <c r="C3419" s="1" t="n">
        <v>45586</v>
      </c>
      <c r="D3419" t="inlineStr">
        <is>
          <t>VÄSTRA GÖTALANDS LÄN</t>
        </is>
      </c>
      <c r="E3419" t="inlineStr">
        <is>
          <t>VÄNERSBORG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20803-2020</t>
        </is>
      </c>
      <c r="B3420" s="1" t="n">
        <v>43949</v>
      </c>
      <c r="C3420" s="1" t="n">
        <v>45586</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20856-2020</t>
        </is>
      </c>
      <c r="B3421" s="1" t="n">
        <v>43949</v>
      </c>
      <c r="C3421" s="1" t="n">
        <v>45586</v>
      </c>
      <c r="D3421" t="inlineStr">
        <is>
          <t>VÄSTRA GÖTALANDS LÄN</t>
        </is>
      </c>
      <c r="E3421" t="inlineStr">
        <is>
          <t>BENGTSFORS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21118-2020</t>
        </is>
      </c>
      <c r="B3422" s="1" t="n">
        <v>43949</v>
      </c>
      <c r="C3422" s="1" t="n">
        <v>45586</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20902-2020</t>
        </is>
      </c>
      <c r="B3423" s="1" t="n">
        <v>43950</v>
      </c>
      <c r="C3423" s="1" t="n">
        <v>45586</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20980-2020</t>
        </is>
      </c>
      <c r="B3424" s="1" t="n">
        <v>43950</v>
      </c>
      <c r="C3424" s="1" t="n">
        <v>45586</v>
      </c>
      <c r="D3424" t="inlineStr">
        <is>
          <t>VÄSTRA GÖTALANDS LÄN</t>
        </is>
      </c>
      <c r="E3424" t="inlineStr">
        <is>
          <t>ALINGSÅS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20994-2020</t>
        </is>
      </c>
      <c r="B3425" s="1" t="n">
        <v>43950</v>
      </c>
      <c r="C3425" s="1" t="n">
        <v>45586</v>
      </c>
      <c r="D3425" t="inlineStr">
        <is>
          <t>VÄSTRA GÖTALANDS LÄN</t>
        </is>
      </c>
      <c r="E3425" t="inlineStr">
        <is>
          <t>LILLA EDET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20966-2020</t>
        </is>
      </c>
      <c r="B3426" s="1" t="n">
        <v>43950</v>
      </c>
      <c r="C3426" s="1" t="n">
        <v>45586</v>
      </c>
      <c r="D3426" t="inlineStr">
        <is>
          <t>VÄSTRA GÖTALANDS LÄN</t>
        </is>
      </c>
      <c r="E3426" t="inlineStr">
        <is>
          <t>DALS-ED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20992-2020</t>
        </is>
      </c>
      <c r="B3427" s="1" t="n">
        <v>43950</v>
      </c>
      <c r="C3427" s="1" t="n">
        <v>45586</v>
      </c>
      <c r="D3427" t="inlineStr">
        <is>
          <t>VÄSTRA GÖTALANDS LÄN</t>
        </is>
      </c>
      <c r="E3427" t="inlineStr">
        <is>
          <t>LILLA EDET</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20882-2020</t>
        </is>
      </c>
      <c r="B3428" s="1" t="n">
        <v>43950</v>
      </c>
      <c r="C3428" s="1" t="n">
        <v>45586</v>
      </c>
      <c r="D3428" t="inlineStr">
        <is>
          <t>VÄSTRA GÖTALANDS LÄN</t>
        </is>
      </c>
      <c r="E3428" t="inlineStr">
        <is>
          <t>DALS-ED</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21077-2020</t>
        </is>
      </c>
      <c r="B3429" s="1" t="n">
        <v>43951</v>
      </c>
      <c r="C3429" s="1" t="n">
        <v>45586</v>
      </c>
      <c r="D3429" t="inlineStr">
        <is>
          <t>VÄSTRA GÖTALANDS LÄN</t>
        </is>
      </c>
      <c r="E3429" t="inlineStr">
        <is>
          <t>ALE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21147-2020</t>
        </is>
      </c>
      <c r="B3430" s="1" t="n">
        <v>43951</v>
      </c>
      <c r="C3430" s="1" t="n">
        <v>45586</v>
      </c>
      <c r="D3430" t="inlineStr">
        <is>
          <t>VÄSTRA GÖTALANDS LÄN</t>
        </is>
      </c>
      <c r="E3430" t="inlineStr">
        <is>
          <t>KARLSBORG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21073-2020</t>
        </is>
      </c>
      <c r="B3431" s="1" t="n">
        <v>43951</v>
      </c>
      <c r="C3431" s="1" t="n">
        <v>45586</v>
      </c>
      <c r="D3431" t="inlineStr">
        <is>
          <t>VÄSTRA GÖTALANDS LÄN</t>
        </is>
      </c>
      <c r="E3431" t="inlineStr">
        <is>
          <t>STRÖMSTAD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21069-2020</t>
        </is>
      </c>
      <c r="B3432" s="1" t="n">
        <v>43951</v>
      </c>
      <c r="C3432" s="1" t="n">
        <v>45586</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21232-2020</t>
        </is>
      </c>
      <c r="B3433" s="1" t="n">
        <v>43952</v>
      </c>
      <c r="C3433" s="1" t="n">
        <v>45586</v>
      </c>
      <c r="D3433" t="inlineStr">
        <is>
          <t>VÄSTRA GÖTALANDS LÄN</t>
        </is>
      </c>
      <c r="E3433" t="inlineStr">
        <is>
          <t>LIDKÖPING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21322-2020</t>
        </is>
      </c>
      <c r="B3434" s="1" t="n">
        <v>43955</v>
      </c>
      <c r="C3434" s="1" t="n">
        <v>45586</v>
      </c>
      <c r="D3434" t="inlineStr">
        <is>
          <t>VÄSTRA GÖTALANDS LÄN</t>
        </is>
      </c>
      <c r="E3434" t="inlineStr">
        <is>
          <t>ÅMÅL</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21260-2020</t>
        </is>
      </c>
      <c r="B3435" s="1" t="n">
        <v>43955</v>
      </c>
      <c r="C3435" s="1" t="n">
        <v>45586</v>
      </c>
      <c r="D3435" t="inlineStr">
        <is>
          <t>VÄSTRA GÖTALANDS LÄN</t>
        </is>
      </c>
      <c r="E3435" t="inlineStr">
        <is>
          <t>STRÖMSTAD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21267-2020</t>
        </is>
      </c>
      <c r="B3436" s="1" t="n">
        <v>43955</v>
      </c>
      <c r="C3436" s="1" t="n">
        <v>45586</v>
      </c>
      <c r="D3436" t="inlineStr">
        <is>
          <t>VÄSTRA GÖTALANDS LÄN</t>
        </is>
      </c>
      <c r="E3436" t="inlineStr">
        <is>
          <t>LIDKÖPING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21281-2020</t>
        </is>
      </c>
      <c r="B3437" s="1" t="n">
        <v>43955</v>
      </c>
      <c r="C3437" s="1" t="n">
        <v>45586</v>
      </c>
      <c r="D3437" t="inlineStr">
        <is>
          <t>VÄSTRA GÖTALANDS LÄN</t>
        </is>
      </c>
      <c r="E3437" t="inlineStr">
        <is>
          <t>UDDEVALLA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21321-2020</t>
        </is>
      </c>
      <c r="B3438" s="1" t="n">
        <v>43955</v>
      </c>
      <c r="C3438" s="1" t="n">
        <v>45586</v>
      </c>
      <c r="D3438" t="inlineStr">
        <is>
          <t>VÄSTRA GÖTALANDS LÄN</t>
        </is>
      </c>
      <c r="E3438" t="inlineStr">
        <is>
          <t>ÅMÅL</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21394-2020</t>
        </is>
      </c>
      <c r="B3439" s="1" t="n">
        <v>43955</v>
      </c>
      <c r="C3439" s="1" t="n">
        <v>45586</v>
      </c>
      <c r="D3439" t="inlineStr">
        <is>
          <t>VÄSTRA GÖTALANDS LÄN</t>
        </is>
      </c>
      <c r="E3439" t="inlineStr">
        <is>
          <t>HERRLJUNGA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21330-2020</t>
        </is>
      </c>
      <c r="B3440" s="1" t="n">
        <v>43955</v>
      </c>
      <c r="C3440" s="1" t="n">
        <v>45586</v>
      </c>
      <c r="D3440" t="inlineStr">
        <is>
          <t>VÄSTRA GÖTALANDS LÄN</t>
        </is>
      </c>
      <c r="E3440" t="inlineStr">
        <is>
          <t>SVENLJUNGA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21253-2020</t>
        </is>
      </c>
      <c r="B3441" s="1" t="n">
        <v>43955</v>
      </c>
      <c r="C3441" s="1" t="n">
        <v>45586</v>
      </c>
      <c r="D3441" t="inlineStr">
        <is>
          <t>VÄSTRA GÖTALANDS LÄN</t>
        </is>
      </c>
      <c r="E3441" t="inlineStr">
        <is>
          <t>DALS-ED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21266-2020</t>
        </is>
      </c>
      <c r="B3442" s="1" t="n">
        <v>43955</v>
      </c>
      <c r="C3442" s="1" t="n">
        <v>45586</v>
      </c>
      <c r="D3442" t="inlineStr">
        <is>
          <t>VÄSTRA GÖTALANDS LÄN</t>
        </is>
      </c>
      <c r="E3442" t="inlineStr">
        <is>
          <t>LIDKÖPING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21262-2020</t>
        </is>
      </c>
      <c r="B3443" s="1" t="n">
        <v>43955</v>
      </c>
      <c r="C3443" s="1" t="n">
        <v>45586</v>
      </c>
      <c r="D3443" t="inlineStr">
        <is>
          <t>VÄSTRA GÖTALANDS LÄN</t>
        </is>
      </c>
      <c r="E3443" t="inlineStr">
        <is>
          <t>BORÅS</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21445-2020</t>
        </is>
      </c>
      <c r="B3444" s="1" t="n">
        <v>43956</v>
      </c>
      <c r="C3444" s="1" t="n">
        <v>45586</v>
      </c>
      <c r="D3444" t="inlineStr">
        <is>
          <t>VÄSTRA GÖTALANDS LÄN</t>
        </is>
      </c>
      <c r="E3444" t="inlineStr">
        <is>
          <t>MARIESTAD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21513-2020</t>
        </is>
      </c>
      <c r="B3445" s="1" t="n">
        <v>43956</v>
      </c>
      <c r="C3445" s="1" t="n">
        <v>45586</v>
      </c>
      <c r="D3445" t="inlineStr">
        <is>
          <t>VÄSTRA GÖTALANDS LÄN</t>
        </is>
      </c>
      <c r="E3445" t="inlineStr">
        <is>
          <t>SKARA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21563-2020</t>
        </is>
      </c>
      <c r="B3446" s="1" t="n">
        <v>43956</v>
      </c>
      <c r="C3446" s="1" t="n">
        <v>45586</v>
      </c>
      <c r="D3446" t="inlineStr">
        <is>
          <t>VÄSTRA GÖTALANDS LÄN</t>
        </is>
      </c>
      <c r="E3446" t="inlineStr">
        <is>
          <t>LILLA EDET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21677-2020</t>
        </is>
      </c>
      <c r="B3447" s="1" t="n">
        <v>43957</v>
      </c>
      <c r="C3447" s="1" t="n">
        <v>45586</v>
      </c>
      <c r="D3447" t="inlineStr">
        <is>
          <t>VÄSTRA GÖTALANDS LÄN</t>
        </is>
      </c>
      <c r="E3447" t="inlineStr">
        <is>
          <t>MELLERUD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21606-2020</t>
        </is>
      </c>
      <c r="B3448" s="1" t="n">
        <v>43957</v>
      </c>
      <c r="C3448" s="1" t="n">
        <v>45586</v>
      </c>
      <c r="D3448" t="inlineStr">
        <is>
          <t>VÄSTRA GÖTALANDS LÄN</t>
        </is>
      </c>
      <c r="E3448" t="inlineStr">
        <is>
          <t>LILLA EDET</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21685-2020</t>
        </is>
      </c>
      <c r="B3449" s="1" t="n">
        <v>43957</v>
      </c>
      <c r="C3449" s="1" t="n">
        <v>45586</v>
      </c>
      <c r="D3449" t="inlineStr">
        <is>
          <t>VÄSTRA GÖTALANDS LÄN</t>
        </is>
      </c>
      <c r="E3449" t="inlineStr">
        <is>
          <t>HÄRRYDA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21693-2020</t>
        </is>
      </c>
      <c r="B3450" s="1" t="n">
        <v>43957</v>
      </c>
      <c r="C3450" s="1" t="n">
        <v>45586</v>
      </c>
      <c r="D3450" t="inlineStr">
        <is>
          <t>VÄSTRA GÖTALANDS LÄN</t>
        </is>
      </c>
      <c r="E3450" t="inlineStr">
        <is>
          <t>MUNKEDAL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22259-2020</t>
        </is>
      </c>
      <c r="B3451" s="1" t="n">
        <v>43957</v>
      </c>
      <c r="C3451" s="1" t="n">
        <v>45586</v>
      </c>
      <c r="D3451" t="inlineStr">
        <is>
          <t>VÄSTRA GÖTALANDS LÄN</t>
        </is>
      </c>
      <c r="E3451" t="inlineStr">
        <is>
          <t>ÅMÅL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21655-2020</t>
        </is>
      </c>
      <c r="B3452" s="1" t="n">
        <v>43957</v>
      </c>
      <c r="C3452" s="1" t="n">
        <v>45586</v>
      </c>
      <c r="D3452" t="inlineStr">
        <is>
          <t>VÄSTRA GÖTALANDS LÄN</t>
        </is>
      </c>
      <c r="E3452" t="inlineStr">
        <is>
          <t>TIBRO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21682-2020</t>
        </is>
      </c>
      <c r="B3453" s="1" t="n">
        <v>43957</v>
      </c>
      <c r="C3453" s="1" t="n">
        <v>45586</v>
      </c>
      <c r="D3453" t="inlineStr">
        <is>
          <t>VÄSTRA GÖTALANDS LÄN</t>
        </is>
      </c>
      <c r="E3453" t="inlineStr">
        <is>
          <t>HÄRRYDA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21719-2020</t>
        </is>
      </c>
      <c r="B3454" s="1" t="n">
        <v>43957</v>
      </c>
      <c r="C3454" s="1" t="n">
        <v>45586</v>
      </c>
      <c r="D3454" t="inlineStr">
        <is>
          <t>VÄSTRA GÖTALANDS LÄN</t>
        </is>
      </c>
      <c r="E3454" t="inlineStr">
        <is>
          <t>KARLSBORG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22260-2020</t>
        </is>
      </c>
      <c r="B3455" s="1" t="n">
        <v>43957</v>
      </c>
      <c r="C3455" s="1" t="n">
        <v>45586</v>
      </c>
      <c r="D3455" t="inlineStr">
        <is>
          <t>VÄSTRA GÖTALANDS LÄN</t>
        </is>
      </c>
      <c r="E3455" t="inlineStr">
        <is>
          <t>ÅMÅL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21627-2020</t>
        </is>
      </c>
      <c r="B3456" s="1" t="n">
        <v>43957</v>
      </c>
      <c r="C3456" s="1" t="n">
        <v>45586</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21640-2020</t>
        </is>
      </c>
      <c r="B3457" s="1" t="n">
        <v>43957</v>
      </c>
      <c r="C3457" s="1" t="n">
        <v>45586</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21811-2020</t>
        </is>
      </c>
      <c r="B3458" s="1" t="n">
        <v>43958</v>
      </c>
      <c r="C3458" s="1" t="n">
        <v>45586</v>
      </c>
      <c r="D3458" t="inlineStr">
        <is>
          <t>VÄSTRA GÖTALANDS LÄN</t>
        </is>
      </c>
      <c r="E3458" t="inlineStr">
        <is>
          <t>TIDAHOLM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21912-2020</t>
        </is>
      </c>
      <c r="B3459" s="1" t="n">
        <v>43958</v>
      </c>
      <c r="C3459" s="1" t="n">
        <v>45586</v>
      </c>
      <c r="D3459" t="inlineStr">
        <is>
          <t>VÄSTRA GÖTALANDS LÄN</t>
        </is>
      </c>
      <c r="E3459" t="inlineStr">
        <is>
          <t>ORUST</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21792-2020</t>
        </is>
      </c>
      <c r="B3460" s="1" t="n">
        <v>43958</v>
      </c>
      <c r="C3460" s="1" t="n">
        <v>45586</v>
      </c>
      <c r="D3460" t="inlineStr">
        <is>
          <t>VÄSTRA GÖTALANDS LÄN</t>
        </is>
      </c>
      <c r="E3460" t="inlineStr">
        <is>
          <t>TÖREBODA</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21914-2020</t>
        </is>
      </c>
      <c r="B3461" s="1" t="n">
        <v>43958</v>
      </c>
      <c r="C3461" s="1" t="n">
        <v>45586</v>
      </c>
      <c r="D3461" t="inlineStr">
        <is>
          <t>VÄSTRA GÖTALANDS LÄN</t>
        </is>
      </c>
      <c r="E3461" t="inlineStr">
        <is>
          <t>ALINGSÅS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21962-2020</t>
        </is>
      </c>
      <c r="B3462" s="1" t="n">
        <v>43959</v>
      </c>
      <c r="C3462" s="1" t="n">
        <v>45586</v>
      </c>
      <c r="D3462" t="inlineStr">
        <is>
          <t>VÄSTRA GÖTALANDS LÄN</t>
        </is>
      </c>
      <c r="E3462" t="inlineStr">
        <is>
          <t>FALKÖPING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22010-2020</t>
        </is>
      </c>
      <c r="B3463" s="1" t="n">
        <v>43959</v>
      </c>
      <c r="C3463" s="1" t="n">
        <v>45586</v>
      </c>
      <c r="D3463" t="inlineStr">
        <is>
          <t>VÄSTRA GÖTALANDS LÄN</t>
        </is>
      </c>
      <c r="E3463" t="inlineStr">
        <is>
          <t>VARA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22028-2020</t>
        </is>
      </c>
      <c r="B3464" s="1" t="n">
        <v>43959</v>
      </c>
      <c r="C3464" s="1" t="n">
        <v>45586</v>
      </c>
      <c r="D3464" t="inlineStr">
        <is>
          <t>VÄSTRA GÖTALANDS LÄN</t>
        </is>
      </c>
      <c r="E3464" t="inlineStr">
        <is>
          <t>ESSUNGA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22065-2020</t>
        </is>
      </c>
      <c r="B3465" s="1" t="n">
        <v>43959</v>
      </c>
      <c r="C3465" s="1" t="n">
        <v>45586</v>
      </c>
      <c r="D3465" t="inlineStr">
        <is>
          <t>VÄSTRA GÖTALANDS LÄN</t>
        </is>
      </c>
      <c r="E3465" t="inlineStr">
        <is>
          <t>ÅMÅL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22022-2020</t>
        </is>
      </c>
      <c r="B3466" s="1" t="n">
        <v>43959</v>
      </c>
      <c r="C3466" s="1" t="n">
        <v>45586</v>
      </c>
      <c r="D3466" t="inlineStr">
        <is>
          <t>VÄSTRA GÖTALANDS LÄN</t>
        </is>
      </c>
      <c r="E3466" t="inlineStr">
        <is>
          <t>VARA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22026-2020</t>
        </is>
      </c>
      <c r="B3467" s="1" t="n">
        <v>43959</v>
      </c>
      <c r="C3467" s="1" t="n">
        <v>45586</v>
      </c>
      <c r="D3467" t="inlineStr">
        <is>
          <t>VÄSTRA GÖTALANDS LÄN</t>
        </is>
      </c>
      <c r="E3467" t="inlineStr">
        <is>
          <t>HERRLJUNGA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22559-2020</t>
        </is>
      </c>
      <c r="B3468" s="1" t="n">
        <v>43959</v>
      </c>
      <c r="C3468" s="1" t="n">
        <v>45586</v>
      </c>
      <c r="D3468" t="inlineStr">
        <is>
          <t>VÄSTRA GÖTALANDS LÄN</t>
        </is>
      </c>
      <c r="E3468" t="inlineStr">
        <is>
          <t>DALS-ED</t>
        </is>
      </c>
      <c r="F3468" t="inlineStr">
        <is>
          <t>Kyrkan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22519-2020</t>
        </is>
      </c>
      <c r="B3469" s="1" t="n">
        <v>43959</v>
      </c>
      <c r="C3469" s="1" t="n">
        <v>45586</v>
      </c>
      <c r="D3469" t="inlineStr">
        <is>
          <t>VÄSTRA GÖTALANDS LÄN</t>
        </is>
      </c>
      <c r="E3469" t="inlineStr">
        <is>
          <t>LILLA EDET</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22614-2020</t>
        </is>
      </c>
      <c r="B3470" s="1" t="n">
        <v>43959</v>
      </c>
      <c r="C3470" s="1" t="n">
        <v>45586</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21976-2020</t>
        </is>
      </c>
      <c r="B3471" s="1" t="n">
        <v>43959</v>
      </c>
      <c r="C3471" s="1" t="n">
        <v>45586</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22127-2020</t>
        </is>
      </c>
      <c r="B3472" s="1" t="n">
        <v>43961</v>
      </c>
      <c r="C3472" s="1" t="n">
        <v>45586</v>
      </c>
      <c r="D3472" t="inlineStr">
        <is>
          <t>VÄSTRA GÖTALANDS LÄN</t>
        </is>
      </c>
      <c r="E3472" t="inlineStr">
        <is>
          <t>KUNGÄLV</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22123-2020</t>
        </is>
      </c>
      <c r="B3473" s="1" t="n">
        <v>43961</v>
      </c>
      <c r="C3473" s="1" t="n">
        <v>45586</v>
      </c>
      <c r="D3473" t="inlineStr">
        <is>
          <t>VÄSTRA GÖTALANDS LÄN</t>
        </is>
      </c>
      <c r="E3473" t="inlineStr">
        <is>
          <t>KUNGÄLV</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22146-2020</t>
        </is>
      </c>
      <c r="B3474" s="1" t="n">
        <v>43961</v>
      </c>
      <c r="C3474" s="1" t="n">
        <v>45586</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22126-2020</t>
        </is>
      </c>
      <c r="B3475" s="1" t="n">
        <v>43961</v>
      </c>
      <c r="C3475" s="1" t="n">
        <v>45586</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22147-2020</t>
        </is>
      </c>
      <c r="B3476" s="1" t="n">
        <v>43961</v>
      </c>
      <c r="C3476" s="1" t="n">
        <v>45586</v>
      </c>
      <c r="D3476" t="inlineStr">
        <is>
          <t>VÄSTRA GÖTALANDS LÄN</t>
        </is>
      </c>
      <c r="E3476" t="inlineStr">
        <is>
          <t>TIDAHOLM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22199-2020</t>
        </is>
      </c>
      <c r="B3477" s="1" t="n">
        <v>43962</v>
      </c>
      <c r="C3477" s="1" t="n">
        <v>45586</v>
      </c>
      <c r="D3477" t="inlineStr">
        <is>
          <t>VÄSTRA GÖTALANDS LÄN</t>
        </is>
      </c>
      <c r="E3477" t="inlineStr">
        <is>
          <t>FÄRGELANDA</t>
        </is>
      </c>
      <c r="F3477" t="inlineStr">
        <is>
          <t>Kommuner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22204-2020</t>
        </is>
      </c>
      <c r="B3478" s="1" t="n">
        <v>43962</v>
      </c>
      <c r="C3478" s="1" t="n">
        <v>45586</v>
      </c>
      <c r="D3478" t="inlineStr">
        <is>
          <t>VÄSTRA GÖTALANDS LÄN</t>
        </is>
      </c>
      <c r="E3478" t="inlineStr">
        <is>
          <t>FÄRGELANDA</t>
        </is>
      </c>
      <c r="F3478" t="inlineStr">
        <is>
          <t>Kommuner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22258-2020</t>
        </is>
      </c>
      <c r="B3479" s="1" t="n">
        <v>43962</v>
      </c>
      <c r="C3479" s="1" t="n">
        <v>45586</v>
      </c>
      <c r="D3479" t="inlineStr">
        <is>
          <t>VÄSTRA GÖTALANDS LÄN</t>
        </is>
      </c>
      <c r="E3479" t="inlineStr">
        <is>
          <t>SVENLJUNGA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22275-2020</t>
        </is>
      </c>
      <c r="B3480" s="1" t="n">
        <v>43962</v>
      </c>
      <c r="C3480" s="1" t="n">
        <v>45586</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22197-2020</t>
        </is>
      </c>
      <c r="B3481" s="1" t="n">
        <v>43962</v>
      </c>
      <c r="C3481" s="1" t="n">
        <v>45586</v>
      </c>
      <c r="D3481" t="inlineStr">
        <is>
          <t>VÄSTRA GÖTALANDS LÄN</t>
        </is>
      </c>
      <c r="E3481" t="inlineStr">
        <is>
          <t>SKARA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22313-2020</t>
        </is>
      </c>
      <c r="B3482" s="1" t="n">
        <v>43962</v>
      </c>
      <c r="C3482" s="1" t="n">
        <v>45586</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22190-2020</t>
        </is>
      </c>
      <c r="B3483" s="1" t="n">
        <v>43962</v>
      </c>
      <c r="C3483" s="1" t="n">
        <v>45586</v>
      </c>
      <c r="D3483" t="inlineStr">
        <is>
          <t>VÄSTRA GÖTALANDS LÄN</t>
        </is>
      </c>
      <c r="E3483" t="inlineStr">
        <is>
          <t>ESSUNGA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22557-2020</t>
        </is>
      </c>
      <c r="B3484" s="1" t="n">
        <v>43963</v>
      </c>
      <c r="C3484" s="1" t="n">
        <v>45586</v>
      </c>
      <c r="D3484" t="inlineStr">
        <is>
          <t>VÄSTRA GÖTALANDS LÄN</t>
        </is>
      </c>
      <c r="E3484" t="inlineStr">
        <is>
          <t>SKARA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22564-2020</t>
        </is>
      </c>
      <c r="B3485" s="1" t="n">
        <v>43963</v>
      </c>
      <c r="C3485" s="1" t="n">
        <v>45586</v>
      </c>
      <c r="D3485" t="inlineStr">
        <is>
          <t>VÄSTRA GÖTALANDS LÄN</t>
        </is>
      </c>
      <c r="E3485" t="inlineStr">
        <is>
          <t>ALINGSÅS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22622-2020</t>
        </is>
      </c>
      <c r="B3486" s="1" t="n">
        <v>43963</v>
      </c>
      <c r="C3486" s="1" t="n">
        <v>45586</v>
      </c>
      <c r="D3486" t="inlineStr">
        <is>
          <t>VÄSTRA GÖTALANDS LÄN</t>
        </is>
      </c>
      <c r="E3486" t="inlineStr">
        <is>
          <t>ULRICEHAMN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22625-2020</t>
        </is>
      </c>
      <c r="B3487" s="1" t="n">
        <v>43963</v>
      </c>
      <c r="C3487" s="1" t="n">
        <v>45586</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22621-2020</t>
        </is>
      </c>
      <c r="B3488" s="1" t="n">
        <v>43963</v>
      </c>
      <c r="C3488" s="1" t="n">
        <v>45586</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22644-2020</t>
        </is>
      </c>
      <c r="B3489" s="1" t="n">
        <v>43963</v>
      </c>
      <c r="C3489" s="1" t="n">
        <v>45586</v>
      </c>
      <c r="D3489" t="inlineStr">
        <is>
          <t>VÄSTRA GÖTALANDS LÄN</t>
        </is>
      </c>
      <c r="E3489" t="inlineStr">
        <is>
          <t>VARA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22579-2020</t>
        </is>
      </c>
      <c r="B3490" s="1" t="n">
        <v>43963</v>
      </c>
      <c r="C3490" s="1" t="n">
        <v>45586</v>
      </c>
      <c r="D3490" t="inlineStr">
        <is>
          <t>VÄSTRA GÖTALANDS LÄN</t>
        </is>
      </c>
      <c r="E3490" t="inlineStr">
        <is>
          <t>LIDKÖPING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22742-2020</t>
        </is>
      </c>
      <c r="B3491" s="1" t="n">
        <v>43964</v>
      </c>
      <c r="C3491" s="1" t="n">
        <v>45586</v>
      </c>
      <c r="D3491" t="inlineStr">
        <is>
          <t>VÄSTRA GÖTALANDS LÄN</t>
        </is>
      </c>
      <c r="E3491" t="inlineStr">
        <is>
          <t>TÖREBODA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22805-2020</t>
        </is>
      </c>
      <c r="B3492" s="1" t="n">
        <v>43964</v>
      </c>
      <c r="C3492" s="1" t="n">
        <v>45586</v>
      </c>
      <c r="D3492" t="inlineStr">
        <is>
          <t>VÄSTRA GÖTALANDS LÄN</t>
        </is>
      </c>
      <c r="E3492" t="inlineStr">
        <is>
          <t>LIDKÖPING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22842-2020</t>
        </is>
      </c>
      <c r="B3493" s="1" t="n">
        <v>43964</v>
      </c>
      <c r="C3493" s="1" t="n">
        <v>45586</v>
      </c>
      <c r="D3493" t="inlineStr">
        <is>
          <t>VÄSTRA GÖTALANDS LÄN</t>
        </is>
      </c>
      <c r="E3493" t="inlineStr">
        <is>
          <t>LERUM</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22744-2020</t>
        </is>
      </c>
      <c r="B3494" s="1" t="n">
        <v>43964</v>
      </c>
      <c r="C3494" s="1" t="n">
        <v>45586</v>
      </c>
      <c r="D3494" t="inlineStr">
        <is>
          <t>VÄSTRA GÖTALANDS LÄN</t>
        </is>
      </c>
      <c r="E3494" t="inlineStr">
        <is>
          <t>MARIESTAD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23251-2020</t>
        </is>
      </c>
      <c r="B3495" s="1" t="n">
        <v>43964</v>
      </c>
      <c r="C3495" s="1" t="n">
        <v>45586</v>
      </c>
      <c r="D3495" t="inlineStr">
        <is>
          <t>VÄSTRA GÖTALANDS LÄN</t>
        </is>
      </c>
      <c r="E3495" t="inlineStr">
        <is>
          <t>MUNKEDAL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22794-2020</t>
        </is>
      </c>
      <c r="B3496" s="1" t="n">
        <v>43964</v>
      </c>
      <c r="C3496" s="1" t="n">
        <v>45586</v>
      </c>
      <c r="D3496" t="inlineStr">
        <is>
          <t>VÄSTRA GÖTALANDS LÄN</t>
        </is>
      </c>
      <c r="E3496" t="inlineStr">
        <is>
          <t>LIDKÖPING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23239-2020</t>
        </is>
      </c>
      <c r="B3497" s="1" t="n">
        <v>43964</v>
      </c>
      <c r="C3497" s="1" t="n">
        <v>45586</v>
      </c>
      <c r="D3497" t="inlineStr">
        <is>
          <t>VÄSTRA GÖTALANDS LÄN</t>
        </is>
      </c>
      <c r="E3497" t="inlineStr">
        <is>
          <t>DALS-ED</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22852-2020</t>
        </is>
      </c>
      <c r="B3498" s="1" t="n">
        <v>43964</v>
      </c>
      <c r="C3498" s="1" t="n">
        <v>45586</v>
      </c>
      <c r="D3498" t="inlineStr">
        <is>
          <t>VÄSTRA GÖTALANDS LÄN</t>
        </is>
      </c>
      <c r="E3498" t="inlineStr">
        <is>
          <t>ESSUNGA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22879-2020</t>
        </is>
      </c>
      <c r="B3499" s="1" t="n">
        <v>43964</v>
      </c>
      <c r="C3499" s="1" t="n">
        <v>45586</v>
      </c>
      <c r="D3499" t="inlineStr">
        <is>
          <t>VÄSTRA GÖTALANDS LÄN</t>
        </is>
      </c>
      <c r="E3499" t="inlineStr">
        <is>
          <t>MELLERUD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22980-2020</t>
        </is>
      </c>
      <c r="B3500" s="1" t="n">
        <v>43965</v>
      </c>
      <c r="C3500" s="1" t="n">
        <v>45586</v>
      </c>
      <c r="D3500" t="inlineStr">
        <is>
          <t>VÄSTRA GÖTALANDS LÄN</t>
        </is>
      </c>
      <c r="E3500" t="inlineStr">
        <is>
          <t>HJO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23099-2020</t>
        </is>
      </c>
      <c r="B3501" s="1" t="n">
        <v>43965</v>
      </c>
      <c r="C3501" s="1" t="n">
        <v>45586</v>
      </c>
      <c r="D3501" t="inlineStr">
        <is>
          <t>VÄSTRA GÖTALANDS LÄN</t>
        </is>
      </c>
      <c r="E3501" t="inlineStr">
        <is>
          <t>ALE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23045-2020</t>
        </is>
      </c>
      <c r="B3502" s="1" t="n">
        <v>43965</v>
      </c>
      <c r="C3502" s="1" t="n">
        <v>45586</v>
      </c>
      <c r="D3502" t="inlineStr">
        <is>
          <t>VÄSTRA GÖTALANDS LÄN</t>
        </is>
      </c>
      <c r="E3502" t="inlineStr">
        <is>
          <t>FALKÖPING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23112-2020</t>
        </is>
      </c>
      <c r="B3503" s="1" t="n">
        <v>43965</v>
      </c>
      <c r="C3503" s="1" t="n">
        <v>45586</v>
      </c>
      <c r="D3503" t="inlineStr">
        <is>
          <t>VÄSTRA GÖTALANDS LÄN</t>
        </is>
      </c>
      <c r="E3503" t="inlineStr">
        <is>
          <t>SVENLJUNGA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22981-2020</t>
        </is>
      </c>
      <c r="B3504" s="1" t="n">
        <v>43965</v>
      </c>
      <c r="C3504" s="1" t="n">
        <v>45586</v>
      </c>
      <c r="D3504" t="inlineStr">
        <is>
          <t>VÄSTRA GÖTALANDS LÄN</t>
        </is>
      </c>
      <c r="E3504" t="inlineStr">
        <is>
          <t>TIDAHOLM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23169-2020</t>
        </is>
      </c>
      <c r="B3505" s="1" t="n">
        <v>43966</v>
      </c>
      <c r="C3505" s="1" t="n">
        <v>45586</v>
      </c>
      <c r="D3505" t="inlineStr">
        <is>
          <t>VÄSTRA GÖTALANDS LÄN</t>
        </is>
      </c>
      <c r="E3505" t="inlineStr">
        <is>
          <t>ULRICEHAMN</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23229-2020</t>
        </is>
      </c>
      <c r="B3506" s="1" t="n">
        <v>43966</v>
      </c>
      <c r="C3506" s="1" t="n">
        <v>45586</v>
      </c>
      <c r="D3506" t="inlineStr">
        <is>
          <t>VÄSTRA GÖTALANDS LÄN</t>
        </is>
      </c>
      <c r="E3506" t="inlineStr">
        <is>
          <t>LIDKÖPING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23224-2020</t>
        </is>
      </c>
      <c r="B3507" s="1" t="n">
        <v>43966</v>
      </c>
      <c r="C3507" s="1" t="n">
        <v>45586</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23289-2020</t>
        </is>
      </c>
      <c r="B3508" s="1" t="n">
        <v>43966</v>
      </c>
      <c r="C3508" s="1" t="n">
        <v>45586</v>
      </c>
      <c r="D3508" t="inlineStr">
        <is>
          <t>VÄSTRA GÖTALANDS LÄN</t>
        </is>
      </c>
      <c r="E3508" t="inlineStr">
        <is>
          <t>TRANEMO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23139-2020</t>
        </is>
      </c>
      <c r="B3509" s="1" t="n">
        <v>43966</v>
      </c>
      <c r="C3509" s="1" t="n">
        <v>45586</v>
      </c>
      <c r="D3509" t="inlineStr">
        <is>
          <t>VÄSTRA GÖTALANDS LÄN</t>
        </is>
      </c>
      <c r="E3509" t="inlineStr">
        <is>
          <t>MARIESTAD</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23534-2020</t>
        </is>
      </c>
      <c r="B3510" s="1" t="n">
        <v>43969</v>
      </c>
      <c r="C3510" s="1" t="n">
        <v>45586</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23529-2020</t>
        </is>
      </c>
      <c r="B3511" s="1" t="n">
        <v>43969</v>
      </c>
      <c r="C3511" s="1" t="n">
        <v>45586</v>
      </c>
      <c r="D3511" t="inlineStr">
        <is>
          <t>VÄSTRA GÖTALANDS LÄN</t>
        </is>
      </c>
      <c r="E3511" t="inlineStr">
        <is>
          <t>BOLLEBYGD</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23544-2020</t>
        </is>
      </c>
      <c r="B3512" s="1" t="n">
        <v>43969</v>
      </c>
      <c r="C3512" s="1" t="n">
        <v>45586</v>
      </c>
      <c r="D3512" t="inlineStr">
        <is>
          <t>VÄSTRA GÖTALANDS LÄN</t>
        </is>
      </c>
      <c r="E3512" t="inlineStr">
        <is>
          <t>SKARA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23663-2020</t>
        </is>
      </c>
      <c r="B3513" s="1" t="n">
        <v>43969</v>
      </c>
      <c r="C3513" s="1" t="n">
        <v>45586</v>
      </c>
      <c r="D3513" t="inlineStr">
        <is>
          <t>VÄSTRA GÖTALANDS LÄN</t>
        </is>
      </c>
      <c r="E3513" t="inlineStr">
        <is>
          <t>MELLERUD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23706-2020</t>
        </is>
      </c>
      <c r="B3514" s="1" t="n">
        <v>43969</v>
      </c>
      <c r="C3514" s="1" t="n">
        <v>45586</v>
      </c>
      <c r="D3514" t="inlineStr">
        <is>
          <t>VÄSTRA GÖTALANDS LÄN</t>
        </is>
      </c>
      <c r="E3514" t="inlineStr">
        <is>
          <t>ÅMÅL</t>
        </is>
      </c>
      <c r="F3514" t="inlineStr">
        <is>
          <t>Bergvik skog väst AB</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23629-2020</t>
        </is>
      </c>
      <c r="B3515" s="1" t="n">
        <v>43969</v>
      </c>
      <c r="C3515" s="1" t="n">
        <v>45586</v>
      </c>
      <c r="D3515" t="inlineStr">
        <is>
          <t>VÄSTRA GÖTALANDS LÄN</t>
        </is>
      </c>
      <c r="E3515" t="inlineStr">
        <is>
          <t>HERRLJUNGA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23664-2020</t>
        </is>
      </c>
      <c r="B3516" s="1" t="n">
        <v>43969</v>
      </c>
      <c r="C3516" s="1" t="n">
        <v>45586</v>
      </c>
      <c r="D3516" t="inlineStr">
        <is>
          <t>VÄSTRA GÖTALANDS LÄN</t>
        </is>
      </c>
      <c r="E3516" t="inlineStr">
        <is>
          <t>VARA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23740-2020</t>
        </is>
      </c>
      <c r="B3517" s="1" t="n">
        <v>43970</v>
      </c>
      <c r="C3517" s="1" t="n">
        <v>45586</v>
      </c>
      <c r="D3517" t="inlineStr">
        <is>
          <t>VÄSTRA GÖTALANDS LÄN</t>
        </is>
      </c>
      <c r="E3517" t="inlineStr">
        <is>
          <t>TRANEMO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23739-2020</t>
        </is>
      </c>
      <c r="B3518" s="1" t="n">
        <v>43970</v>
      </c>
      <c r="C3518" s="1" t="n">
        <v>45586</v>
      </c>
      <c r="D3518" t="inlineStr">
        <is>
          <t>VÄSTRA GÖTALANDS LÄN</t>
        </is>
      </c>
      <c r="E3518" t="inlineStr">
        <is>
          <t>MARIESTAD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23882-2020</t>
        </is>
      </c>
      <c r="B3519" s="1" t="n">
        <v>43970</v>
      </c>
      <c r="C3519" s="1" t="n">
        <v>45586</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23825-2020</t>
        </is>
      </c>
      <c r="B3520" s="1" t="n">
        <v>43970</v>
      </c>
      <c r="C3520" s="1" t="n">
        <v>45586</v>
      </c>
      <c r="D3520" t="inlineStr">
        <is>
          <t>VÄSTRA GÖTALANDS LÄN</t>
        </is>
      </c>
      <c r="E3520" t="inlineStr">
        <is>
          <t>SKÖVDE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23788-2020</t>
        </is>
      </c>
      <c r="B3521" s="1" t="n">
        <v>43970</v>
      </c>
      <c r="C3521" s="1" t="n">
        <v>45586</v>
      </c>
      <c r="D3521" t="inlineStr">
        <is>
          <t>VÄSTRA GÖTALANDS LÄN</t>
        </is>
      </c>
      <c r="E3521" t="inlineStr">
        <is>
          <t>ÅMÅL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23824-2020</t>
        </is>
      </c>
      <c r="B3522" s="1" t="n">
        <v>43970</v>
      </c>
      <c r="C3522" s="1" t="n">
        <v>45586</v>
      </c>
      <c r="D3522" t="inlineStr">
        <is>
          <t>VÄSTRA GÖTALANDS LÄN</t>
        </is>
      </c>
      <c r="E3522" t="inlineStr">
        <is>
          <t>SKÖVDE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23956-2020</t>
        </is>
      </c>
      <c r="B3523" s="1" t="n">
        <v>43971</v>
      </c>
      <c r="C3523" s="1" t="n">
        <v>45586</v>
      </c>
      <c r="D3523" t="inlineStr">
        <is>
          <t>VÄSTRA GÖTALANDS LÄN</t>
        </is>
      </c>
      <c r="E3523" t="inlineStr">
        <is>
          <t>LIDKÖPING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24035-2020</t>
        </is>
      </c>
      <c r="B3524" s="1" t="n">
        <v>43971</v>
      </c>
      <c r="C3524" s="1" t="n">
        <v>45586</v>
      </c>
      <c r="D3524" t="inlineStr">
        <is>
          <t>VÄSTRA GÖTALANDS LÄN</t>
        </is>
      </c>
      <c r="E3524" t="inlineStr">
        <is>
          <t>MELLERUD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23879-2020</t>
        </is>
      </c>
      <c r="B3525" s="1" t="n">
        <v>43971</v>
      </c>
      <c r="C3525" s="1" t="n">
        <v>45586</v>
      </c>
      <c r="D3525" t="inlineStr">
        <is>
          <t>VÄSTRA GÖTALANDS LÄN</t>
        </is>
      </c>
      <c r="E3525" t="inlineStr">
        <is>
          <t>SVENLJUNGA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23999-2020</t>
        </is>
      </c>
      <c r="B3526" s="1" t="n">
        <v>43971</v>
      </c>
      <c r="C3526" s="1" t="n">
        <v>45586</v>
      </c>
      <c r="D3526" t="inlineStr">
        <is>
          <t>VÄSTRA GÖTALANDS LÄN</t>
        </is>
      </c>
      <c r="E3526" t="inlineStr">
        <is>
          <t>BORÅS</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23965-2020</t>
        </is>
      </c>
      <c r="B3527" s="1" t="n">
        <v>43971</v>
      </c>
      <c r="C3527" s="1" t="n">
        <v>45586</v>
      </c>
      <c r="D3527" t="inlineStr">
        <is>
          <t>VÄSTRA GÖTALANDS LÄN</t>
        </is>
      </c>
      <c r="E3527" t="inlineStr">
        <is>
          <t>HERRLJUNGA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24106-2020</t>
        </is>
      </c>
      <c r="B3528" s="1" t="n">
        <v>43973</v>
      </c>
      <c r="C3528" s="1" t="n">
        <v>45586</v>
      </c>
      <c r="D3528" t="inlineStr">
        <is>
          <t>VÄSTRA GÖTALANDS LÄN</t>
        </is>
      </c>
      <c r="E3528" t="inlineStr">
        <is>
          <t>KARLSBORG</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24109-2020</t>
        </is>
      </c>
      <c r="B3529" s="1" t="n">
        <v>43973</v>
      </c>
      <c r="C3529" s="1" t="n">
        <v>45586</v>
      </c>
      <c r="D3529" t="inlineStr">
        <is>
          <t>VÄSTRA GÖTALANDS LÄN</t>
        </is>
      </c>
      <c r="E3529" t="inlineStr">
        <is>
          <t>KARLSBORG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24110-2020</t>
        </is>
      </c>
      <c r="B3530" s="1" t="n">
        <v>43973</v>
      </c>
      <c r="C3530" s="1" t="n">
        <v>45586</v>
      </c>
      <c r="D3530" t="inlineStr">
        <is>
          <t>VÄSTRA GÖTALANDS LÄN</t>
        </is>
      </c>
      <c r="E3530" t="inlineStr">
        <is>
          <t>KARLSBORG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24111-2020</t>
        </is>
      </c>
      <c r="B3531" s="1" t="n">
        <v>43973</v>
      </c>
      <c r="C3531" s="1" t="n">
        <v>45586</v>
      </c>
      <c r="D3531" t="inlineStr">
        <is>
          <t>VÄSTRA GÖTALANDS LÄN</t>
        </is>
      </c>
      <c r="E3531" t="inlineStr">
        <is>
          <t>MARIESTAD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24139-2020</t>
        </is>
      </c>
      <c r="B3532" s="1" t="n">
        <v>43973</v>
      </c>
      <c r="C3532" s="1" t="n">
        <v>45586</v>
      </c>
      <c r="D3532" t="inlineStr">
        <is>
          <t>VÄSTRA GÖTALANDS LÄN</t>
        </is>
      </c>
      <c r="E3532" t="inlineStr">
        <is>
          <t>MARK</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24154-2020</t>
        </is>
      </c>
      <c r="B3533" s="1" t="n">
        <v>43974</v>
      </c>
      <c r="C3533" s="1" t="n">
        <v>45586</v>
      </c>
      <c r="D3533" t="inlineStr">
        <is>
          <t>VÄSTRA GÖTALANDS LÄN</t>
        </is>
      </c>
      <c r="E3533" t="inlineStr">
        <is>
          <t>ULRICEHAMN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24159-2020</t>
        </is>
      </c>
      <c r="B3534" s="1" t="n">
        <v>43974</v>
      </c>
      <c r="C3534" s="1" t="n">
        <v>45586</v>
      </c>
      <c r="D3534" t="inlineStr">
        <is>
          <t>VÄSTRA GÖTALANDS LÄN</t>
        </is>
      </c>
      <c r="E3534" t="inlineStr">
        <is>
          <t>ULRICEHAMN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24177-2020</t>
        </is>
      </c>
      <c r="B3535" s="1" t="n">
        <v>43975</v>
      </c>
      <c r="C3535" s="1" t="n">
        <v>45586</v>
      </c>
      <c r="D3535" t="inlineStr">
        <is>
          <t>VÄSTRA GÖTALANDS LÄN</t>
        </is>
      </c>
      <c r="E3535" t="inlineStr">
        <is>
          <t>TIDAHOLM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24388-2020</t>
        </is>
      </c>
      <c r="B3536" s="1" t="n">
        <v>43976</v>
      </c>
      <c r="C3536" s="1" t="n">
        <v>45586</v>
      </c>
      <c r="D3536" t="inlineStr">
        <is>
          <t>VÄSTRA GÖTALANDS LÄN</t>
        </is>
      </c>
      <c r="E3536" t="inlineStr">
        <is>
          <t>TRANEMO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24214-2020</t>
        </is>
      </c>
      <c r="B3537" s="1" t="n">
        <v>43976</v>
      </c>
      <c r="C3537" s="1" t="n">
        <v>45586</v>
      </c>
      <c r="D3537" t="inlineStr">
        <is>
          <t>VÄSTRA GÖTALANDS LÄN</t>
        </is>
      </c>
      <c r="E3537" t="inlineStr">
        <is>
          <t>MARK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24357-2020</t>
        </is>
      </c>
      <c r="B3538" s="1" t="n">
        <v>43976</v>
      </c>
      <c r="C3538" s="1" t="n">
        <v>45586</v>
      </c>
      <c r="D3538" t="inlineStr">
        <is>
          <t>VÄSTRA GÖTALANDS LÄN</t>
        </is>
      </c>
      <c r="E3538" t="inlineStr">
        <is>
          <t>LILLA EDET</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24288-2020</t>
        </is>
      </c>
      <c r="B3539" s="1" t="n">
        <v>43976</v>
      </c>
      <c r="C3539" s="1" t="n">
        <v>45586</v>
      </c>
      <c r="D3539" t="inlineStr">
        <is>
          <t>VÄSTRA GÖTALANDS LÄN</t>
        </is>
      </c>
      <c r="E3539" t="inlineStr">
        <is>
          <t>SKARA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24553-2020</t>
        </is>
      </c>
      <c r="B3540" s="1" t="n">
        <v>43977</v>
      </c>
      <c r="C3540" s="1" t="n">
        <v>45586</v>
      </c>
      <c r="D3540" t="inlineStr">
        <is>
          <t>VÄSTRA GÖTALANDS LÄN</t>
        </is>
      </c>
      <c r="E3540" t="inlineStr">
        <is>
          <t>SKARA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24673-2020</t>
        </is>
      </c>
      <c r="B3541" s="1" t="n">
        <v>43978</v>
      </c>
      <c r="C3541" s="1" t="n">
        <v>45586</v>
      </c>
      <c r="D3541" t="inlineStr">
        <is>
          <t>VÄSTRA GÖTALANDS LÄN</t>
        </is>
      </c>
      <c r="E3541" t="inlineStr">
        <is>
          <t>ALINGSÅS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24691-2020</t>
        </is>
      </c>
      <c r="B3542" s="1" t="n">
        <v>43978</v>
      </c>
      <c r="C3542" s="1" t="n">
        <v>45586</v>
      </c>
      <c r="D3542" t="inlineStr">
        <is>
          <t>VÄSTRA GÖTALANDS LÄN</t>
        </is>
      </c>
      <c r="E3542" t="inlineStr">
        <is>
          <t>FÄRGELANDA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24733-2020</t>
        </is>
      </c>
      <c r="B3543" s="1" t="n">
        <v>43978</v>
      </c>
      <c r="C3543" s="1" t="n">
        <v>45586</v>
      </c>
      <c r="D3543" t="inlineStr">
        <is>
          <t>VÄSTRA GÖTALANDS LÄN</t>
        </is>
      </c>
      <c r="E3543" t="inlineStr">
        <is>
          <t>HÄRRYDA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24768-2020</t>
        </is>
      </c>
      <c r="B3544" s="1" t="n">
        <v>43978</v>
      </c>
      <c r="C3544" s="1" t="n">
        <v>45586</v>
      </c>
      <c r="D3544" t="inlineStr">
        <is>
          <t>VÄSTRA GÖTALANDS LÄN</t>
        </is>
      </c>
      <c r="E3544" t="inlineStr">
        <is>
          <t>MARIESTAD</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24786-2020</t>
        </is>
      </c>
      <c r="B3545" s="1" t="n">
        <v>43978</v>
      </c>
      <c r="C3545" s="1" t="n">
        <v>45586</v>
      </c>
      <c r="D3545" t="inlineStr">
        <is>
          <t>VÄSTRA GÖTALANDS LÄN</t>
        </is>
      </c>
      <c r="E3545" t="inlineStr">
        <is>
          <t>HERRLJUNGA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24807-2020</t>
        </is>
      </c>
      <c r="B3546" s="1" t="n">
        <v>43978</v>
      </c>
      <c r="C3546" s="1" t="n">
        <v>45586</v>
      </c>
      <c r="D3546" t="inlineStr">
        <is>
          <t>VÄSTRA GÖTALANDS LÄN</t>
        </is>
      </c>
      <c r="E3546" t="inlineStr">
        <is>
          <t>TANUM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24815-2020</t>
        </is>
      </c>
      <c r="B3547" s="1" t="n">
        <v>43978</v>
      </c>
      <c r="C3547" s="1" t="n">
        <v>45586</v>
      </c>
      <c r="D3547" t="inlineStr">
        <is>
          <t>VÄSTRA GÖTALANDS LÄN</t>
        </is>
      </c>
      <c r="E3547" t="inlineStr">
        <is>
          <t>TANUM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24814-2020</t>
        </is>
      </c>
      <c r="B3548" s="1" t="n">
        <v>43978</v>
      </c>
      <c r="C3548" s="1" t="n">
        <v>45586</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24813-2020</t>
        </is>
      </c>
      <c r="B3549" s="1" t="n">
        <v>43978</v>
      </c>
      <c r="C3549" s="1" t="n">
        <v>45586</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24699-2020</t>
        </is>
      </c>
      <c r="B3550" s="1" t="n">
        <v>43978</v>
      </c>
      <c r="C3550" s="1" t="n">
        <v>45586</v>
      </c>
      <c r="D3550" t="inlineStr">
        <is>
          <t>VÄSTRA GÖTALANDS LÄN</t>
        </is>
      </c>
      <c r="E3550" t="inlineStr">
        <is>
          <t>KUNGÄLV</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24739-2020</t>
        </is>
      </c>
      <c r="B3551" s="1" t="n">
        <v>43978</v>
      </c>
      <c r="C3551" s="1" t="n">
        <v>45586</v>
      </c>
      <c r="D3551" t="inlineStr">
        <is>
          <t>VÄSTRA GÖTALANDS LÄN</t>
        </is>
      </c>
      <c r="E3551" t="inlineStr">
        <is>
          <t>VÅRGÅRDA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24812-2020</t>
        </is>
      </c>
      <c r="B3552" s="1" t="n">
        <v>43978</v>
      </c>
      <c r="C3552" s="1" t="n">
        <v>45586</v>
      </c>
      <c r="D3552" t="inlineStr">
        <is>
          <t>VÄSTRA GÖTALANDS LÄN</t>
        </is>
      </c>
      <c r="E3552" t="inlineStr">
        <is>
          <t>GÖTENE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24816-2020</t>
        </is>
      </c>
      <c r="B3553" s="1" t="n">
        <v>43978</v>
      </c>
      <c r="C3553" s="1" t="n">
        <v>45586</v>
      </c>
      <c r="D3553" t="inlineStr">
        <is>
          <t>VÄSTRA GÖTALANDS LÄN</t>
        </is>
      </c>
      <c r="E3553" t="inlineStr">
        <is>
          <t>TANUM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24841-2020</t>
        </is>
      </c>
      <c r="B3554" s="1" t="n">
        <v>43978</v>
      </c>
      <c r="C3554" s="1" t="n">
        <v>45586</v>
      </c>
      <c r="D3554" t="inlineStr">
        <is>
          <t>VÄSTRA GÖTALANDS LÄN</t>
        </is>
      </c>
      <c r="E3554" t="inlineStr">
        <is>
          <t>KARLSBORG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24938-2020</t>
        </is>
      </c>
      <c r="B3555" s="1" t="n">
        <v>43979</v>
      </c>
      <c r="C3555" s="1" t="n">
        <v>45586</v>
      </c>
      <c r="D3555" t="inlineStr">
        <is>
          <t>VÄSTRA GÖTALANDS LÄN</t>
        </is>
      </c>
      <c r="E3555" t="inlineStr">
        <is>
          <t>MARIESTAD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25035-2020</t>
        </is>
      </c>
      <c r="B3556" s="1" t="n">
        <v>43979</v>
      </c>
      <c r="C3556" s="1" t="n">
        <v>45586</v>
      </c>
      <c r="D3556" t="inlineStr">
        <is>
          <t>VÄSTRA GÖTALANDS LÄN</t>
        </is>
      </c>
      <c r="E3556" t="inlineStr">
        <is>
          <t>ULRICEHAMN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24895-2020</t>
        </is>
      </c>
      <c r="B3557" s="1" t="n">
        <v>43979</v>
      </c>
      <c r="C3557" s="1" t="n">
        <v>45586</v>
      </c>
      <c r="D3557" t="inlineStr">
        <is>
          <t>VÄSTRA GÖTALANDS LÄN</t>
        </is>
      </c>
      <c r="E3557" t="inlineStr">
        <is>
          <t>MARIESTAD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24961-2020</t>
        </is>
      </c>
      <c r="B3558" s="1" t="n">
        <v>43979</v>
      </c>
      <c r="C3558" s="1" t="n">
        <v>45586</v>
      </c>
      <c r="D3558" t="inlineStr">
        <is>
          <t>VÄSTRA GÖTALANDS LÄN</t>
        </is>
      </c>
      <c r="E3558" t="inlineStr">
        <is>
          <t>LIDKÖPING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24993-2020</t>
        </is>
      </c>
      <c r="B3559" s="1" t="n">
        <v>43979</v>
      </c>
      <c r="C3559" s="1" t="n">
        <v>45586</v>
      </c>
      <c r="D3559" t="inlineStr">
        <is>
          <t>VÄSTRA GÖTALANDS LÄN</t>
        </is>
      </c>
      <c r="E3559" t="inlineStr">
        <is>
          <t>GRÄSTORP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25016-2020</t>
        </is>
      </c>
      <c r="B3560" s="1" t="n">
        <v>43979</v>
      </c>
      <c r="C3560" s="1" t="n">
        <v>45586</v>
      </c>
      <c r="D3560" t="inlineStr">
        <is>
          <t>VÄSTRA GÖTALANDS LÄN</t>
        </is>
      </c>
      <c r="E3560" t="inlineStr">
        <is>
          <t>LIDKÖPING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24953-2020</t>
        </is>
      </c>
      <c r="B3561" s="1" t="n">
        <v>43979</v>
      </c>
      <c r="C3561" s="1" t="n">
        <v>45586</v>
      </c>
      <c r="D3561" t="inlineStr">
        <is>
          <t>VÄSTRA GÖTALANDS LÄN</t>
        </is>
      </c>
      <c r="E3561" t="inlineStr">
        <is>
          <t>BORÅS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25020-2020</t>
        </is>
      </c>
      <c r="B3562" s="1" t="n">
        <v>43979</v>
      </c>
      <c r="C3562" s="1" t="n">
        <v>45586</v>
      </c>
      <c r="D3562" t="inlineStr">
        <is>
          <t>VÄSTRA GÖTALANDS LÄN</t>
        </is>
      </c>
      <c r="E3562" t="inlineStr">
        <is>
          <t>VARA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25062-2020</t>
        </is>
      </c>
      <c r="B3563" s="1" t="n">
        <v>43979</v>
      </c>
      <c r="C3563" s="1" t="n">
        <v>45586</v>
      </c>
      <c r="D3563" t="inlineStr">
        <is>
          <t>VÄSTRA GÖTALANDS LÄN</t>
        </is>
      </c>
      <c r="E3563" t="inlineStr">
        <is>
          <t>FÄRGELANDA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25204-2020</t>
        </is>
      </c>
      <c r="B3564" s="1" t="n">
        <v>43980</v>
      </c>
      <c r="C3564" s="1" t="n">
        <v>45586</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25239-2020</t>
        </is>
      </c>
      <c r="B3565" s="1" t="n">
        <v>43980</v>
      </c>
      <c r="C3565" s="1" t="n">
        <v>45586</v>
      </c>
      <c r="D3565" t="inlineStr">
        <is>
          <t>VÄSTRA GÖTALANDS LÄN</t>
        </is>
      </c>
      <c r="E3565" t="inlineStr">
        <is>
          <t>ULRICEHAMN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25184-2020</t>
        </is>
      </c>
      <c r="B3566" s="1" t="n">
        <v>43980</v>
      </c>
      <c r="C3566" s="1" t="n">
        <v>45586</v>
      </c>
      <c r="D3566" t="inlineStr">
        <is>
          <t>VÄSTRA GÖTALANDS LÄN</t>
        </is>
      </c>
      <c r="E3566" t="inlineStr">
        <is>
          <t>MARK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25187-2020</t>
        </is>
      </c>
      <c r="B3567" s="1" t="n">
        <v>43980</v>
      </c>
      <c r="C3567" s="1" t="n">
        <v>45586</v>
      </c>
      <c r="D3567" t="inlineStr">
        <is>
          <t>VÄSTRA GÖTALANDS LÄN</t>
        </is>
      </c>
      <c r="E3567" t="inlineStr">
        <is>
          <t>ESSUNGA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25405-2020</t>
        </is>
      </c>
      <c r="B3568" s="1" t="n">
        <v>43981</v>
      </c>
      <c r="C3568" s="1" t="n">
        <v>45586</v>
      </c>
      <c r="D3568" t="inlineStr">
        <is>
          <t>VÄSTRA GÖTALANDS LÄN</t>
        </is>
      </c>
      <c r="E3568" t="inlineStr">
        <is>
          <t>MARK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25406-2020</t>
        </is>
      </c>
      <c r="B3569" s="1" t="n">
        <v>43981</v>
      </c>
      <c r="C3569" s="1" t="n">
        <v>45586</v>
      </c>
      <c r="D3569" t="inlineStr">
        <is>
          <t>VÄSTRA GÖTALANDS LÄN</t>
        </is>
      </c>
      <c r="E3569" t="inlineStr">
        <is>
          <t>MARK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25574-2020</t>
        </is>
      </c>
      <c r="B3570" s="1" t="n">
        <v>43982</v>
      </c>
      <c r="C3570" s="1" t="n">
        <v>45586</v>
      </c>
      <c r="D3570" t="inlineStr">
        <is>
          <t>VÄSTRA GÖTALANDS LÄN</t>
        </is>
      </c>
      <c r="E3570" t="inlineStr">
        <is>
          <t>TANUM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25578-2020</t>
        </is>
      </c>
      <c r="B3571" s="1" t="n">
        <v>43982</v>
      </c>
      <c r="C3571" s="1" t="n">
        <v>45586</v>
      </c>
      <c r="D3571" t="inlineStr">
        <is>
          <t>VÄSTRA GÖTALANDS LÄN</t>
        </is>
      </c>
      <c r="E3571" t="inlineStr">
        <is>
          <t>STRÖMSTAD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25455-2020</t>
        </is>
      </c>
      <c r="B3572" s="1" t="n">
        <v>43983</v>
      </c>
      <c r="C3572" s="1" t="n">
        <v>45586</v>
      </c>
      <c r="D3572" t="inlineStr">
        <is>
          <t>VÄSTRA GÖTALANDS LÄN</t>
        </is>
      </c>
      <c r="E3572" t="inlineStr">
        <is>
          <t>MUNKEDAL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25563-2020</t>
        </is>
      </c>
      <c r="B3573" s="1" t="n">
        <v>43983</v>
      </c>
      <c r="C3573" s="1" t="n">
        <v>45586</v>
      </c>
      <c r="D3573" t="inlineStr">
        <is>
          <t>VÄSTRA GÖTALANDS LÄN</t>
        </is>
      </c>
      <c r="E3573" t="inlineStr">
        <is>
          <t>SVENLJUNGA</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25602-2020</t>
        </is>
      </c>
      <c r="B3574" s="1" t="n">
        <v>43983</v>
      </c>
      <c r="C3574" s="1" t="n">
        <v>45586</v>
      </c>
      <c r="D3574" t="inlineStr">
        <is>
          <t>VÄSTRA GÖTALANDS LÄN</t>
        </is>
      </c>
      <c r="E3574" t="inlineStr">
        <is>
          <t>VÄNERSBORG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25826-2020</t>
        </is>
      </c>
      <c r="B3575" s="1" t="n">
        <v>43983</v>
      </c>
      <c r="C3575" s="1" t="n">
        <v>45586</v>
      </c>
      <c r="D3575" t="inlineStr">
        <is>
          <t>VÄSTRA GÖTALANDS LÄN</t>
        </is>
      </c>
      <c r="E3575" t="inlineStr">
        <is>
          <t>MARK</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25847-2020</t>
        </is>
      </c>
      <c r="B3576" s="1" t="n">
        <v>43983</v>
      </c>
      <c r="C3576" s="1" t="n">
        <v>45586</v>
      </c>
      <c r="D3576" t="inlineStr">
        <is>
          <t>VÄSTRA GÖTALANDS LÄN</t>
        </is>
      </c>
      <c r="E3576" t="inlineStr">
        <is>
          <t>DALS-ED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25833-2020</t>
        </is>
      </c>
      <c r="B3577" s="1" t="n">
        <v>43983</v>
      </c>
      <c r="C3577" s="1" t="n">
        <v>45586</v>
      </c>
      <c r="D3577" t="inlineStr">
        <is>
          <t>VÄSTRA GÖTALANDS LÄN</t>
        </is>
      </c>
      <c r="E3577" t="inlineStr">
        <is>
          <t>STRÖMSTAD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25743-2020</t>
        </is>
      </c>
      <c r="B3578" s="1" t="n">
        <v>43984</v>
      </c>
      <c r="C3578" s="1" t="n">
        <v>45586</v>
      </c>
      <c r="D3578" t="inlineStr">
        <is>
          <t>VÄSTRA GÖTALANDS LÄN</t>
        </is>
      </c>
      <c r="E3578" t="inlineStr">
        <is>
          <t>LIDKÖPING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25777-2020</t>
        </is>
      </c>
      <c r="B3579" s="1" t="n">
        <v>43984</v>
      </c>
      <c r="C3579" s="1" t="n">
        <v>45586</v>
      </c>
      <c r="D3579" t="inlineStr">
        <is>
          <t>VÄSTRA GÖTALANDS LÄN</t>
        </is>
      </c>
      <c r="E3579" t="inlineStr">
        <is>
          <t>GRÄSTORP</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25789-2020</t>
        </is>
      </c>
      <c r="B3580" s="1" t="n">
        <v>43984</v>
      </c>
      <c r="C3580" s="1" t="n">
        <v>45586</v>
      </c>
      <c r="D3580" t="inlineStr">
        <is>
          <t>VÄSTRA GÖTALANDS LÄN</t>
        </is>
      </c>
      <c r="E3580" t="inlineStr">
        <is>
          <t>BOLLEBYGD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25740-2020</t>
        </is>
      </c>
      <c r="B3581" s="1" t="n">
        <v>43984</v>
      </c>
      <c r="C3581" s="1" t="n">
        <v>45586</v>
      </c>
      <c r="D3581" t="inlineStr">
        <is>
          <t>VÄSTRA GÖTALANDS LÄN</t>
        </is>
      </c>
      <c r="E3581" t="inlineStr">
        <is>
          <t>KARLSBORG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25787-2020</t>
        </is>
      </c>
      <c r="B3582" s="1" t="n">
        <v>43984</v>
      </c>
      <c r="C3582" s="1" t="n">
        <v>45586</v>
      </c>
      <c r="D3582" t="inlineStr">
        <is>
          <t>VÄSTRA GÖTALANDS LÄN</t>
        </is>
      </c>
      <c r="E3582" t="inlineStr">
        <is>
          <t>BOLLEBYGD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25729-2020</t>
        </is>
      </c>
      <c r="B3583" s="1" t="n">
        <v>43984</v>
      </c>
      <c r="C3583" s="1" t="n">
        <v>45586</v>
      </c>
      <c r="D3583" t="inlineStr">
        <is>
          <t>VÄSTRA GÖTALANDS LÄN</t>
        </is>
      </c>
      <c r="E3583" t="inlineStr">
        <is>
          <t>BORÅS</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25748-2020</t>
        </is>
      </c>
      <c r="B3584" s="1" t="n">
        <v>43984</v>
      </c>
      <c r="C3584" s="1" t="n">
        <v>45586</v>
      </c>
      <c r="D3584" t="inlineStr">
        <is>
          <t>VÄSTRA GÖTALANDS LÄN</t>
        </is>
      </c>
      <c r="E3584" t="inlineStr">
        <is>
          <t>LIDKÖPING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25781-2020</t>
        </is>
      </c>
      <c r="B3585" s="1" t="n">
        <v>43984</v>
      </c>
      <c r="C3585" s="1" t="n">
        <v>45586</v>
      </c>
      <c r="D3585" t="inlineStr">
        <is>
          <t>VÄSTRA GÖTALANDS LÄN</t>
        </is>
      </c>
      <c r="E3585" t="inlineStr">
        <is>
          <t>VARA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25820-2020</t>
        </is>
      </c>
      <c r="B3586" s="1" t="n">
        <v>43984</v>
      </c>
      <c r="C3586" s="1" t="n">
        <v>45586</v>
      </c>
      <c r="D3586" t="inlineStr">
        <is>
          <t>VÄSTRA GÖTALANDS LÄN</t>
        </is>
      </c>
      <c r="E3586" t="inlineStr">
        <is>
          <t>TANUM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25882-2020</t>
        </is>
      </c>
      <c r="B3587" s="1" t="n">
        <v>43984</v>
      </c>
      <c r="C3587" s="1" t="n">
        <v>45586</v>
      </c>
      <c r="D3587" t="inlineStr">
        <is>
          <t>VÄSTRA GÖTALANDS LÄN</t>
        </is>
      </c>
      <c r="E3587" t="inlineStr">
        <is>
          <t>ALINGSÅS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25985-2020</t>
        </is>
      </c>
      <c r="B3588" s="1" t="n">
        <v>43985</v>
      </c>
      <c r="C3588" s="1" t="n">
        <v>45586</v>
      </c>
      <c r="D3588" t="inlineStr">
        <is>
          <t>VÄSTRA GÖTALANDS LÄN</t>
        </is>
      </c>
      <c r="E3588" t="inlineStr">
        <is>
          <t>MARK</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26035-2020</t>
        </is>
      </c>
      <c r="B3589" s="1" t="n">
        <v>43985</v>
      </c>
      <c r="C3589" s="1" t="n">
        <v>45586</v>
      </c>
      <c r="D3589" t="inlineStr">
        <is>
          <t>VÄSTRA GÖTALANDS LÄN</t>
        </is>
      </c>
      <c r="E3589" t="inlineStr">
        <is>
          <t>ALINGSÅS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26026-2020</t>
        </is>
      </c>
      <c r="B3590" s="1" t="n">
        <v>43985</v>
      </c>
      <c r="C3590" s="1" t="n">
        <v>45586</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25987-2020</t>
        </is>
      </c>
      <c r="B3591" s="1" t="n">
        <v>43985</v>
      </c>
      <c r="C3591" s="1" t="n">
        <v>45586</v>
      </c>
      <c r="D3591" t="inlineStr">
        <is>
          <t>VÄSTRA GÖTALANDS LÄN</t>
        </is>
      </c>
      <c r="E3591" t="inlineStr">
        <is>
          <t>FÄRGELANDA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26349-2020</t>
        </is>
      </c>
      <c r="B3592" s="1" t="n">
        <v>43986</v>
      </c>
      <c r="C3592" s="1" t="n">
        <v>45586</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26277-2020</t>
        </is>
      </c>
      <c r="B3593" s="1" t="n">
        <v>43986</v>
      </c>
      <c r="C3593" s="1" t="n">
        <v>45586</v>
      </c>
      <c r="D3593" t="inlineStr">
        <is>
          <t>VÄSTRA GÖTALANDS LÄN</t>
        </is>
      </c>
      <c r="E3593" t="inlineStr">
        <is>
          <t>ALINGSÅS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26223-2020</t>
        </is>
      </c>
      <c r="B3594" s="1" t="n">
        <v>43986</v>
      </c>
      <c r="C3594" s="1" t="n">
        <v>45586</v>
      </c>
      <c r="D3594" t="inlineStr">
        <is>
          <t>VÄSTRA GÖTALANDS LÄN</t>
        </is>
      </c>
      <c r="E3594" t="inlineStr">
        <is>
          <t>ULRICEHAMN</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26347-2020</t>
        </is>
      </c>
      <c r="B3595" s="1" t="n">
        <v>43986</v>
      </c>
      <c r="C3595" s="1" t="n">
        <v>45586</v>
      </c>
      <c r="D3595" t="inlineStr">
        <is>
          <t>VÄSTRA GÖTALANDS LÄN</t>
        </is>
      </c>
      <c r="E3595" t="inlineStr">
        <is>
          <t>SVENLJUNGA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26333-2020</t>
        </is>
      </c>
      <c r="B3596" s="1" t="n">
        <v>43986</v>
      </c>
      <c r="C3596" s="1" t="n">
        <v>45586</v>
      </c>
      <c r="D3596" t="inlineStr">
        <is>
          <t>VÄSTRA GÖTALANDS LÄN</t>
        </is>
      </c>
      <c r="E3596" t="inlineStr">
        <is>
          <t>SVENLJUNGA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26332-2020</t>
        </is>
      </c>
      <c r="B3597" s="1" t="n">
        <v>43986</v>
      </c>
      <c r="C3597" s="1" t="n">
        <v>45586</v>
      </c>
      <c r="D3597" t="inlineStr">
        <is>
          <t>VÄSTRA GÖTALANDS LÄN</t>
        </is>
      </c>
      <c r="E3597" t="inlineStr">
        <is>
          <t>SKÖVDE</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26412-2020</t>
        </is>
      </c>
      <c r="B3598" s="1" t="n">
        <v>43987</v>
      </c>
      <c r="C3598" s="1" t="n">
        <v>45586</v>
      </c>
      <c r="D3598" t="inlineStr">
        <is>
          <t>VÄSTRA GÖTALANDS LÄN</t>
        </is>
      </c>
      <c r="E3598" t="inlineStr">
        <is>
          <t>BOLLEBYGD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26417-2020</t>
        </is>
      </c>
      <c r="B3599" s="1" t="n">
        <v>43987</v>
      </c>
      <c r="C3599" s="1" t="n">
        <v>45586</v>
      </c>
      <c r="D3599" t="inlineStr">
        <is>
          <t>VÄSTRA GÖTALANDS LÄN</t>
        </is>
      </c>
      <c r="E3599" t="inlineStr">
        <is>
          <t>MUNKEDAL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26395-2020</t>
        </is>
      </c>
      <c r="B3600" s="1" t="n">
        <v>43987</v>
      </c>
      <c r="C3600" s="1" t="n">
        <v>45586</v>
      </c>
      <c r="D3600" t="inlineStr">
        <is>
          <t>VÄSTRA GÖTALANDS LÄN</t>
        </is>
      </c>
      <c r="E3600" t="inlineStr">
        <is>
          <t>BOLLEBYGD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26400-2020</t>
        </is>
      </c>
      <c r="B3601" s="1" t="n">
        <v>43987</v>
      </c>
      <c r="C3601" s="1" t="n">
        <v>45586</v>
      </c>
      <c r="D3601" t="inlineStr">
        <is>
          <t>VÄSTRA GÖTALANDS LÄN</t>
        </is>
      </c>
      <c r="E3601" t="inlineStr">
        <is>
          <t>BOLLEBYGD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26521-2020</t>
        </is>
      </c>
      <c r="B3602" s="1" t="n">
        <v>43987</v>
      </c>
      <c r="C3602" s="1" t="n">
        <v>45586</v>
      </c>
      <c r="D3602" t="inlineStr">
        <is>
          <t>VÄSTRA GÖTALANDS LÄN</t>
        </is>
      </c>
      <c r="E3602" t="inlineStr">
        <is>
          <t>ESSUNGA</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26449-2020</t>
        </is>
      </c>
      <c r="B3603" s="1" t="n">
        <v>43987</v>
      </c>
      <c r="C3603" s="1" t="n">
        <v>45586</v>
      </c>
      <c r="D3603" t="inlineStr">
        <is>
          <t>VÄSTRA GÖTALANDS LÄN</t>
        </is>
      </c>
      <c r="E3603" t="inlineStr">
        <is>
          <t>MARK</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26481-2020</t>
        </is>
      </c>
      <c r="B3604" s="1" t="n">
        <v>43987</v>
      </c>
      <c r="C3604" s="1" t="n">
        <v>45586</v>
      </c>
      <c r="D3604" t="inlineStr">
        <is>
          <t>VÄSTRA GÖTALANDS LÄN</t>
        </is>
      </c>
      <c r="E3604" t="inlineStr">
        <is>
          <t>MARIESTAD</t>
        </is>
      </c>
      <c r="F3604" t="inlineStr">
        <is>
          <t>Kommuner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26544-2020</t>
        </is>
      </c>
      <c r="B3605" s="1" t="n">
        <v>43987</v>
      </c>
      <c r="C3605" s="1" t="n">
        <v>45586</v>
      </c>
      <c r="D3605" t="inlineStr">
        <is>
          <t>VÄSTRA GÖTALANDS LÄN</t>
        </is>
      </c>
      <c r="E3605" t="inlineStr">
        <is>
          <t>MARK</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26804-2020</t>
        </is>
      </c>
      <c r="B3606" s="1" t="n">
        <v>43987</v>
      </c>
      <c r="C3606" s="1" t="n">
        <v>45586</v>
      </c>
      <c r="D3606" t="inlineStr">
        <is>
          <t>VÄSTRA GÖTALANDS LÄN</t>
        </is>
      </c>
      <c r="E3606" t="inlineStr">
        <is>
          <t>DALS-ED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26741-2020</t>
        </is>
      </c>
      <c r="B3607" s="1" t="n">
        <v>43988</v>
      </c>
      <c r="C3607" s="1" t="n">
        <v>45586</v>
      </c>
      <c r="D3607" t="inlineStr">
        <is>
          <t>VÄSTRA GÖTALANDS LÄN</t>
        </is>
      </c>
      <c r="E3607" t="inlineStr">
        <is>
          <t>MELLERUD</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26663-2020</t>
        </is>
      </c>
      <c r="B3608" s="1" t="n">
        <v>43989</v>
      </c>
      <c r="C3608" s="1" t="n">
        <v>45586</v>
      </c>
      <c r="D3608" t="inlineStr">
        <is>
          <t>VÄSTRA GÖTALANDS LÄN</t>
        </is>
      </c>
      <c r="E3608" t="inlineStr">
        <is>
          <t>FALKÖPING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26702-2020</t>
        </is>
      </c>
      <c r="B3609" s="1" t="n">
        <v>43990</v>
      </c>
      <c r="C3609" s="1" t="n">
        <v>45586</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26704-2020</t>
        </is>
      </c>
      <c r="B3610" s="1" t="n">
        <v>43990</v>
      </c>
      <c r="C3610" s="1" t="n">
        <v>45586</v>
      </c>
      <c r="D3610" t="inlineStr">
        <is>
          <t>VÄSTRA GÖTALANDS LÄN</t>
        </is>
      </c>
      <c r="E3610" t="inlineStr">
        <is>
          <t>SKARA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26753-2020</t>
        </is>
      </c>
      <c r="B3611" s="1" t="n">
        <v>43990</v>
      </c>
      <c r="C3611" s="1" t="n">
        <v>45586</v>
      </c>
      <c r="D3611" t="inlineStr">
        <is>
          <t>VÄSTRA GÖTALANDS LÄN</t>
        </is>
      </c>
      <c r="E3611" t="inlineStr">
        <is>
          <t>KARLSBORG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26760-2020</t>
        </is>
      </c>
      <c r="B3612" s="1" t="n">
        <v>43990</v>
      </c>
      <c r="C3612" s="1" t="n">
        <v>45586</v>
      </c>
      <c r="D3612" t="inlineStr">
        <is>
          <t>VÄSTRA GÖTALANDS LÄN</t>
        </is>
      </c>
      <c r="E3612" t="inlineStr">
        <is>
          <t>MELLERUD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26893-2020</t>
        </is>
      </c>
      <c r="B3613" s="1" t="n">
        <v>43990</v>
      </c>
      <c r="C3613" s="1" t="n">
        <v>45586</v>
      </c>
      <c r="D3613" t="inlineStr">
        <is>
          <t>VÄSTRA GÖTALANDS LÄN</t>
        </is>
      </c>
      <c r="E3613" t="inlineStr">
        <is>
          <t>FALKÖPING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27089-2020</t>
        </is>
      </c>
      <c r="B3614" s="1" t="n">
        <v>43990</v>
      </c>
      <c r="C3614" s="1" t="n">
        <v>45586</v>
      </c>
      <c r="D3614" t="inlineStr">
        <is>
          <t>VÄSTRA GÖTALANDS LÄN</t>
        </is>
      </c>
      <c r="E3614" t="inlineStr">
        <is>
          <t>MARIESTAD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27116-2020</t>
        </is>
      </c>
      <c r="B3615" s="1" t="n">
        <v>43991</v>
      </c>
      <c r="C3615" s="1" t="n">
        <v>45586</v>
      </c>
      <c r="D3615" t="inlineStr">
        <is>
          <t>VÄSTRA GÖTALANDS LÄN</t>
        </is>
      </c>
      <c r="E3615" t="inlineStr">
        <is>
          <t>SVENLJUNGA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27022-2020</t>
        </is>
      </c>
      <c r="B3616" s="1" t="n">
        <v>43991</v>
      </c>
      <c r="C3616" s="1" t="n">
        <v>45586</v>
      </c>
      <c r="D3616" t="inlineStr">
        <is>
          <t>VÄSTRA GÖTALANDS LÄN</t>
        </is>
      </c>
      <c r="E3616" t="inlineStr">
        <is>
          <t>HERRLJUNGA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27477-2020</t>
        </is>
      </c>
      <c r="B3617" s="1" t="n">
        <v>43991</v>
      </c>
      <c r="C3617" s="1" t="n">
        <v>45586</v>
      </c>
      <c r="D3617" t="inlineStr">
        <is>
          <t>VÄSTRA GÖTALANDS LÄN</t>
        </is>
      </c>
      <c r="E3617" t="inlineStr">
        <is>
          <t>UDDEVALLA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27260-2020</t>
        </is>
      </c>
      <c r="B3618" s="1" t="n">
        <v>43992</v>
      </c>
      <c r="C3618" s="1" t="n">
        <v>45586</v>
      </c>
      <c r="D3618" t="inlineStr">
        <is>
          <t>VÄSTRA GÖTALANDS LÄN</t>
        </is>
      </c>
      <c r="E3618" t="inlineStr">
        <is>
          <t>ULRICEHAMN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27313-2020</t>
        </is>
      </c>
      <c r="B3619" s="1" t="n">
        <v>43992</v>
      </c>
      <c r="C3619" s="1" t="n">
        <v>45586</v>
      </c>
      <c r="D3619" t="inlineStr">
        <is>
          <t>VÄSTRA GÖTALANDS LÄN</t>
        </is>
      </c>
      <c r="E3619" t="inlineStr">
        <is>
          <t>FALKÖPING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27483-2020</t>
        </is>
      </c>
      <c r="B3620" s="1" t="n">
        <v>43992</v>
      </c>
      <c r="C3620" s="1" t="n">
        <v>45586</v>
      </c>
      <c r="D3620" t="inlineStr">
        <is>
          <t>VÄSTRA GÖTALANDS LÄN</t>
        </is>
      </c>
      <c r="E3620" t="inlineStr">
        <is>
          <t>STRÖMSTAD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27306-2020</t>
        </is>
      </c>
      <c r="B3621" s="1" t="n">
        <v>43992</v>
      </c>
      <c r="C3621" s="1" t="n">
        <v>45586</v>
      </c>
      <c r="D3621" t="inlineStr">
        <is>
          <t>VÄSTRA GÖTALANDS LÄN</t>
        </is>
      </c>
      <c r="E3621" t="inlineStr">
        <is>
          <t>BOLLEBYGD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27392-2020</t>
        </is>
      </c>
      <c r="B3622" s="1" t="n">
        <v>43992</v>
      </c>
      <c r="C3622" s="1" t="n">
        <v>45586</v>
      </c>
      <c r="D3622" t="inlineStr">
        <is>
          <t>VÄSTRA GÖTALANDS LÄN</t>
        </is>
      </c>
      <c r="E3622" t="inlineStr">
        <is>
          <t>FALKÖPING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27476-2020</t>
        </is>
      </c>
      <c r="B3623" s="1" t="n">
        <v>43992</v>
      </c>
      <c r="C3623" s="1" t="n">
        <v>45586</v>
      </c>
      <c r="D3623" t="inlineStr">
        <is>
          <t>VÄSTRA GÖTALANDS LÄN</t>
        </is>
      </c>
      <c r="E3623" t="inlineStr">
        <is>
          <t>STRÖMSTAD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27380-2020</t>
        </is>
      </c>
      <c r="B3624" s="1" t="n">
        <v>43992</v>
      </c>
      <c r="C3624" s="1" t="n">
        <v>45586</v>
      </c>
      <c r="D3624" t="inlineStr">
        <is>
          <t>VÄSTRA GÖTALANDS LÄN</t>
        </is>
      </c>
      <c r="E3624" t="inlineStr">
        <is>
          <t>SKÖVDE</t>
        </is>
      </c>
      <c r="F3624" t="inlineStr">
        <is>
          <t>Kommuner</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27496-2020</t>
        </is>
      </c>
      <c r="B3625" s="1" t="n">
        <v>43993</v>
      </c>
      <c r="C3625" s="1" t="n">
        <v>45586</v>
      </c>
      <c r="D3625" t="inlineStr">
        <is>
          <t>VÄSTRA GÖTALANDS LÄN</t>
        </is>
      </c>
      <c r="E3625" t="inlineStr">
        <is>
          <t>ALE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27481-2020</t>
        </is>
      </c>
      <c r="B3626" s="1" t="n">
        <v>43993</v>
      </c>
      <c r="C3626" s="1" t="n">
        <v>45586</v>
      </c>
      <c r="D3626" t="inlineStr">
        <is>
          <t>VÄSTRA GÖTALANDS LÄN</t>
        </is>
      </c>
      <c r="E3626" t="inlineStr">
        <is>
          <t>ALINGSÅS</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27447-2020</t>
        </is>
      </c>
      <c r="B3627" s="1" t="n">
        <v>43993</v>
      </c>
      <c r="C3627" s="1" t="n">
        <v>45586</v>
      </c>
      <c r="D3627" t="inlineStr">
        <is>
          <t>VÄSTRA GÖTALANDS LÄN</t>
        </is>
      </c>
      <c r="E3627" t="inlineStr">
        <is>
          <t>FÄRGELANDA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27482-2020</t>
        </is>
      </c>
      <c r="B3628" s="1" t="n">
        <v>43993</v>
      </c>
      <c r="C3628" s="1" t="n">
        <v>45586</v>
      </c>
      <c r="D3628" t="inlineStr">
        <is>
          <t>VÄSTRA GÖTALANDS LÄN</t>
        </is>
      </c>
      <c r="E3628" t="inlineStr">
        <is>
          <t>MARIESTAD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27507-2020</t>
        </is>
      </c>
      <c r="B3629" s="1" t="n">
        <v>43993</v>
      </c>
      <c r="C3629" s="1" t="n">
        <v>45586</v>
      </c>
      <c r="D3629" t="inlineStr">
        <is>
          <t>VÄSTRA GÖTALANDS LÄN</t>
        </is>
      </c>
      <c r="E3629" t="inlineStr">
        <is>
          <t>MARK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27585-2020</t>
        </is>
      </c>
      <c r="B3630" s="1" t="n">
        <v>43993</v>
      </c>
      <c r="C3630" s="1" t="n">
        <v>45586</v>
      </c>
      <c r="D3630" t="inlineStr">
        <is>
          <t>VÄSTRA GÖTALANDS LÄN</t>
        </is>
      </c>
      <c r="E3630" t="inlineStr">
        <is>
          <t>ALINGSÅS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27678-2020</t>
        </is>
      </c>
      <c r="B3631" s="1" t="n">
        <v>43993</v>
      </c>
      <c r="C3631" s="1" t="n">
        <v>45586</v>
      </c>
      <c r="D3631" t="inlineStr">
        <is>
          <t>VÄSTRA GÖTALANDS LÄN</t>
        </is>
      </c>
      <c r="E3631" t="inlineStr">
        <is>
          <t>TIBRO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27712-2020</t>
        </is>
      </c>
      <c r="B3632" s="1" t="n">
        <v>43993</v>
      </c>
      <c r="C3632" s="1" t="n">
        <v>45586</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27722-2020</t>
        </is>
      </c>
      <c r="B3633" s="1" t="n">
        <v>43993</v>
      </c>
      <c r="C3633" s="1" t="n">
        <v>45586</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27601-2020</t>
        </is>
      </c>
      <c r="B3634" s="1" t="n">
        <v>43993</v>
      </c>
      <c r="C3634" s="1" t="n">
        <v>45586</v>
      </c>
      <c r="D3634" t="inlineStr">
        <is>
          <t>VÄSTRA GÖTALANDS LÄN</t>
        </is>
      </c>
      <c r="E3634" t="inlineStr">
        <is>
          <t>TROLLHÄTTAN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27883-2020</t>
        </is>
      </c>
      <c r="B3635" s="1" t="n">
        <v>43994</v>
      </c>
      <c r="C3635" s="1" t="n">
        <v>45586</v>
      </c>
      <c r="D3635" t="inlineStr">
        <is>
          <t>VÄSTRA GÖTALANDS LÄN</t>
        </is>
      </c>
      <c r="E3635" t="inlineStr">
        <is>
          <t>LIDKÖPING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27889-2020</t>
        </is>
      </c>
      <c r="B3636" s="1" t="n">
        <v>43995</v>
      </c>
      <c r="C3636" s="1" t="n">
        <v>45586</v>
      </c>
      <c r="D3636" t="inlineStr">
        <is>
          <t>VÄSTRA GÖTALANDS LÄN</t>
        </is>
      </c>
      <c r="E3636" t="inlineStr">
        <is>
          <t>BOLLEBYGD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28131-2020</t>
        </is>
      </c>
      <c r="B3637" s="1" t="n">
        <v>43995</v>
      </c>
      <c r="C3637" s="1" t="n">
        <v>45586</v>
      </c>
      <c r="D3637" t="inlineStr">
        <is>
          <t>VÄSTRA GÖTALANDS LÄN</t>
        </is>
      </c>
      <c r="E3637" t="inlineStr">
        <is>
          <t>TIBRO</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27969-2020</t>
        </is>
      </c>
      <c r="B3638" s="1" t="n">
        <v>43997</v>
      </c>
      <c r="C3638" s="1" t="n">
        <v>45586</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28006-2020</t>
        </is>
      </c>
      <c r="B3639" s="1" t="n">
        <v>43997</v>
      </c>
      <c r="C3639" s="1" t="n">
        <v>45586</v>
      </c>
      <c r="D3639" t="inlineStr">
        <is>
          <t>VÄSTRA GÖTALANDS LÄN</t>
        </is>
      </c>
      <c r="E3639" t="inlineStr">
        <is>
          <t>MARK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28318-2020</t>
        </is>
      </c>
      <c r="B3640" s="1" t="n">
        <v>43997</v>
      </c>
      <c r="C3640" s="1" t="n">
        <v>45586</v>
      </c>
      <c r="D3640" t="inlineStr">
        <is>
          <t>VÄSTRA GÖTALANDS LÄN</t>
        </is>
      </c>
      <c r="E3640" t="inlineStr">
        <is>
          <t>BORÅS</t>
        </is>
      </c>
      <c r="F3640" t="inlineStr">
        <is>
          <t>Kyrkan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28018-2020</t>
        </is>
      </c>
      <c r="B3641" s="1" t="n">
        <v>43997</v>
      </c>
      <c r="C3641" s="1" t="n">
        <v>45586</v>
      </c>
      <c r="D3641" t="inlineStr">
        <is>
          <t>VÄSTRA GÖTALANDS LÄN</t>
        </is>
      </c>
      <c r="E3641" t="inlineStr">
        <is>
          <t>LIDKÖPING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28066-2020</t>
        </is>
      </c>
      <c r="B3642" s="1" t="n">
        <v>43997</v>
      </c>
      <c r="C3642" s="1" t="n">
        <v>45586</v>
      </c>
      <c r="D3642" t="inlineStr">
        <is>
          <t>VÄSTRA GÖTALANDS LÄN</t>
        </is>
      </c>
      <c r="E3642" t="inlineStr">
        <is>
          <t>VÄNERSBORG</t>
        </is>
      </c>
      <c r="F3642" t="inlineStr">
        <is>
          <t>Kommuner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28294-2020</t>
        </is>
      </c>
      <c r="B3643" s="1" t="n">
        <v>43997</v>
      </c>
      <c r="C3643" s="1" t="n">
        <v>45586</v>
      </c>
      <c r="D3643" t="inlineStr">
        <is>
          <t>VÄSTRA GÖTALANDS LÄN</t>
        </is>
      </c>
      <c r="E3643" t="inlineStr">
        <is>
          <t>BORÅS</t>
        </is>
      </c>
      <c r="F3643" t="inlineStr">
        <is>
          <t>Kyrkan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28967-2020</t>
        </is>
      </c>
      <c r="B3644" s="1" t="n">
        <v>43997</v>
      </c>
      <c r="C3644" s="1" t="n">
        <v>45586</v>
      </c>
      <c r="D3644" t="inlineStr">
        <is>
          <t>VÄSTRA GÖTALANDS LÄN</t>
        </is>
      </c>
      <c r="E3644" t="inlineStr">
        <is>
          <t>MELLERUD</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27984-2020</t>
        </is>
      </c>
      <c r="B3645" s="1" t="n">
        <v>43997</v>
      </c>
      <c r="C3645" s="1" t="n">
        <v>45586</v>
      </c>
      <c r="D3645" t="inlineStr">
        <is>
          <t>VÄSTRA GÖTALANDS LÄN</t>
        </is>
      </c>
      <c r="E3645" t="inlineStr">
        <is>
          <t>GRÄSTORP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28007-2020</t>
        </is>
      </c>
      <c r="B3646" s="1" t="n">
        <v>43997</v>
      </c>
      <c r="C3646" s="1" t="n">
        <v>45586</v>
      </c>
      <c r="D3646" t="inlineStr">
        <is>
          <t>VÄSTRA GÖTALANDS LÄN</t>
        </is>
      </c>
      <c r="E3646" t="inlineStr">
        <is>
          <t>MARK</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28014-2020</t>
        </is>
      </c>
      <c r="B3647" s="1" t="n">
        <v>43997</v>
      </c>
      <c r="C3647" s="1" t="n">
        <v>45586</v>
      </c>
      <c r="D3647" t="inlineStr">
        <is>
          <t>VÄSTRA GÖTALANDS LÄN</t>
        </is>
      </c>
      <c r="E3647" t="inlineStr">
        <is>
          <t>GULLSPÅNG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28181-2020</t>
        </is>
      </c>
      <c r="B3648" s="1" t="n">
        <v>43997</v>
      </c>
      <c r="C3648" s="1" t="n">
        <v>45586</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28258-2020</t>
        </is>
      </c>
      <c r="B3649" s="1" t="n">
        <v>43998</v>
      </c>
      <c r="C3649" s="1" t="n">
        <v>45586</v>
      </c>
      <c r="D3649" t="inlineStr">
        <is>
          <t>VÄSTRA GÖTALANDS LÄN</t>
        </is>
      </c>
      <c r="E3649" t="inlineStr">
        <is>
          <t>UDDEVALLA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28344-2020</t>
        </is>
      </c>
      <c r="B3650" s="1" t="n">
        <v>43998</v>
      </c>
      <c r="C3650" s="1" t="n">
        <v>45586</v>
      </c>
      <c r="D3650" t="inlineStr">
        <is>
          <t>VÄSTRA GÖTALANDS LÄN</t>
        </is>
      </c>
      <c r="E3650" t="inlineStr">
        <is>
          <t>FALKÖPING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28453-2020</t>
        </is>
      </c>
      <c r="B3651" s="1" t="n">
        <v>43998</v>
      </c>
      <c r="C3651" s="1" t="n">
        <v>45586</v>
      </c>
      <c r="D3651" t="inlineStr">
        <is>
          <t>VÄSTRA GÖTALANDS LÄN</t>
        </is>
      </c>
      <c r="E3651" t="inlineStr">
        <is>
          <t>UDDEVALLA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28580-2020</t>
        </is>
      </c>
      <c r="B3652" s="1" t="n">
        <v>43999</v>
      </c>
      <c r="C3652" s="1" t="n">
        <v>45586</v>
      </c>
      <c r="D3652" t="inlineStr">
        <is>
          <t>VÄSTRA GÖTALANDS LÄN</t>
        </is>
      </c>
      <c r="E3652" t="inlineStr">
        <is>
          <t>MARK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28605-2020</t>
        </is>
      </c>
      <c r="B3653" s="1" t="n">
        <v>43999</v>
      </c>
      <c r="C3653" s="1" t="n">
        <v>45586</v>
      </c>
      <c r="D3653" t="inlineStr">
        <is>
          <t>VÄSTRA GÖTALANDS LÄN</t>
        </is>
      </c>
      <c r="E3653" t="inlineStr">
        <is>
          <t>MARIESTAD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28635-2020</t>
        </is>
      </c>
      <c r="B3654" s="1" t="n">
        <v>43999</v>
      </c>
      <c r="C3654" s="1" t="n">
        <v>45586</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28595-2020</t>
        </is>
      </c>
      <c r="B3655" s="1" t="n">
        <v>43999</v>
      </c>
      <c r="C3655" s="1" t="n">
        <v>45586</v>
      </c>
      <c r="D3655" t="inlineStr">
        <is>
          <t>VÄSTRA GÖTALANDS LÄN</t>
        </is>
      </c>
      <c r="E3655" t="inlineStr">
        <is>
          <t>ÅMÅL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28608-2020</t>
        </is>
      </c>
      <c r="B3656" s="1" t="n">
        <v>43999</v>
      </c>
      <c r="C3656" s="1" t="n">
        <v>45586</v>
      </c>
      <c r="D3656" t="inlineStr">
        <is>
          <t>VÄSTRA GÖTALANDS LÄN</t>
        </is>
      </c>
      <c r="E3656" t="inlineStr">
        <is>
          <t>MARIESTAD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28591-2020</t>
        </is>
      </c>
      <c r="B3657" s="1" t="n">
        <v>43999</v>
      </c>
      <c r="C3657" s="1" t="n">
        <v>45586</v>
      </c>
      <c r="D3657" t="inlineStr">
        <is>
          <t>VÄSTRA GÖTALANDS LÄN</t>
        </is>
      </c>
      <c r="E3657" t="inlineStr">
        <is>
          <t>ÅMÅL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28702-2020</t>
        </is>
      </c>
      <c r="B3658" s="1" t="n">
        <v>43999</v>
      </c>
      <c r="C3658" s="1" t="n">
        <v>45586</v>
      </c>
      <c r="D3658" t="inlineStr">
        <is>
          <t>VÄSTRA GÖTALANDS LÄN</t>
        </is>
      </c>
      <c r="E3658" t="inlineStr">
        <is>
          <t>SKÖVDE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28716-2020</t>
        </is>
      </c>
      <c r="B3659" s="1" t="n">
        <v>43999</v>
      </c>
      <c r="C3659" s="1" t="n">
        <v>45586</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29185-2020</t>
        </is>
      </c>
      <c r="B3660" s="1" t="n">
        <v>43999</v>
      </c>
      <c r="C3660" s="1" t="n">
        <v>45586</v>
      </c>
      <c r="D3660" t="inlineStr">
        <is>
          <t>VÄSTRA GÖTALANDS LÄN</t>
        </is>
      </c>
      <c r="E3660" t="inlineStr">
        <is>
          <t>BENGTSFORS</t>
        </is>
      </c>
      <c r="F3660" t="inlineStr">
        <is>
          <t>Kyrkan</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28369-2020</t>
        </is>
      </c>
      <c r="B3661" s="1" t="n">
        <v>43999</v>
      </c>
      <c r="C3661" s="1" t="n">
        <v>45586</v>
      </c>
      <c r="D3661" t="inlineStr">
        <is>
          <t>VÄSTRA GÖTALANDS LÄN</t>
        </is>
      </c>
      <c r="E3661" t="inlineStr">
        <is>
          <t>SKÖVDE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29165-2020</t>
        </is>
      </c>
      <c r="B3662" s="1" t="n">
        <v>43999</v>
      </c>
      <c r="C3662" s="1" t="n">
        <v>45586</v>
      </c>
      <c r="D3662" t="inlineStr">
        <is>
          <t>VÄSTRA GÖTALANDS LÄN</t>
        </is>
      </c>
      <c r="E3662" t="inlineStr">
        <is>
          <t>BENGTSFORS</t>
        </is>
      </c>
      <c r="F3662" t="inlineStr">
        <is>
          <t>Kyrkan</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28833-2020</t>
        </is>
      </c>
      <c r="B3663" s="1" t="n">
        <v>44000</v>
      </c>
      <c r="C3663" s="1" t="n">
        <v>45586</v>
      </c>
      <c r="D3663" t="inlineStr">
        <is>
          <t>VÄSTRA GÖTALANDS LÄN</t>
        </is>
      </c>
      <c r="E3663" t="inlineStr">
        <is>
          <t>MARK</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28912-2020</t>
        </is>
      </c>
      <c r="B3664" s="1" t="n">
        <v>44000</v>
      </c>
      <c r="C3664" s="1" t="n">
        <v>45586</v>
      </c>
      <c r="D3664" t="inlineStr">
        <is>
          <t>VÄSTRA GÖTALANDS LÄN</t>
        </is>
      </c>
      <c r="E3664" t="inlineStr">
        <is>
          <t>TÖREBODA</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28795-2020</t>
        </is>
      </c>
      <c r="B3665" s="1" t="n">
        <v>44000</v>
      </c>
      <c r="C3665" s="1" t="n">
        <v>45586</v>
      </c>
      <c r="D3665" t="inlineStr">
        <is>
          <t>VÄSTRA GÖTALANDS LÄN</t>
        </is>
      </c>
      <c r="E3665" t="inlineStr">
        <is>
          <t>FALKÖPING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28902-2020</t>
        </is>
      </c>
      <c r="B3666" s="1" t="n">
        <v>44000</v>
      </c>
      <c r="C3666" s="1" t="n">
        <v>45586</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29152-2020</t>
        </is>
      </c>
      <c r="B3667" s="1" t="n">
        <v>44004</v>
      </c>
      <c r="C3667" s="1" t="n">
        <v>45586</v>
      </c>
      <c r="D3667" t="inlineStr">
        <is>
          <t>VÄSTRA GÖTALANDS LÄN</t>
        </is>
      </c>
      <c r="E3667" t="inlineStr">
        <is>
          <t>ULRICEHAMN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29141-2020</t>
        </is>
      </c>
      <c r="B3668" s="1" t="n">
        <v>44004</v>
      </c>
      <c r="C3668" s="1" t="n">
        <v>45586</v>
      </c>
      <c r="D3668" t="inlineStr">
        <is>
          <t>VÄSTRA GÖTALANDS LÄN</t>
        </is>
      </c>
      <c r="E3668" t="inlineStr">
        <is>
          <t>TROLLHÄTTAN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29258-2020</t>
        </is>
      </c>
      <c r="B3669" s="1" t="n">
        <v>44004</v>
      </c>
      <c r="C3669" s="1" t="n">
        <v>45586</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29379-2020</t>
        </is>
      </c>
      <c r="B3670" s="1" t="n">
        <v>44004</v>
      </c>
      <c r="C3670" s="1" t="n">
        <v>45586</v>
      </c>
      <c r="D3670" t="inlineStr">
        <is>
          <t>VÄSTRA GÖTALANDS LÄN</t>
        </is>
      </c>
      <c r="E3670" t="inlineStr">
        <is>
          <t>LERUM</t>
        </is>
      </c>
      <c r="F3670" t="inlineStr">
        <is>
          <t>Kommuner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29279-2020</t>
        </is>
      </c>
      <c r="B3671" s="1" t="n">
        <v>44004</v>
      </c>
      <c r="C3671" s="1" t="n">
        <v>45586</v>
      </c>
      <c r="D3671" t="inlineStr">
        <is>
          <t>VÄSTRA GÖTALANDS LÄN</t>
        </is>
      </c>
      <c r="E3671" t="inlineStr">
        <is>
          <t>BENGTSFORS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29361-2020</t>
        </is>
      </c>
      <c r="B3672" s="1" t="n">
        <v>44004</v>
      </c>
      <c r="C3672" s="1" t="n">
        <v>45586</v>
      </c>
      <c r="D3672" t="inlineStr">
        <is>
          <t>VÄSTRA GÖTALANDS LÄN</t>
        </is>
      </c>
      <c r="E3672" t="inlineStr">
        <is>
          <t>FÄRGELANDA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29257-2020</t>
        </is>
      </c>
      <c r="B3673" s="1" t="n">
        <v>44004</v>
      </c>
      <c r="C3673" s="1" t="n">
        <v>45586</v>
      </c>
      <c r="D3673" t="inlineStr">
        <is>
          <t>VÄSTRA GÖTALANDS LÄN</t>
        </is>
      </c>
      <c r="E3673" t="inlineStr">
        <is>
          <t>ULRICEHAMN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29436-2020</t>
        </is>
      </c>
      <c r="B3674" s="1" t="n">
        <v>44004</v>
      </c>
      <c r="C3674" s="1" t="n">
        <v>45586</v>
      </c>
      <c r="D3674" t="inlineStr">
        <is>
          <t>VÄSTRA GÖTALANDS LÄN</t>
        </is>
      </c>
      <c r="E3674" t="inlineStr">
        <is>
          <t>VÄNERSBORG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29673-2020</t>
        </is>
      </c>
      <c r="B3675" s="1" t="n">
        <v>44004</v>
      </c>
      <c r="C3675" s="1" t="n">
        <v>45586</v>
      </c>
      <c r="D3675" t="inlineStr">
        <is>
          <t>VÄSTRA GÖTALANDS LÄN</t>
        </is>
      </c>
      <c r="E3675" t="inlineStr">
        <is>
          <t>BENGTSFORS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29509-2020</t>
        </is>
      </c>
      <c r="B3676" s="1" t="n">
        <v>44005</v>
      </c>
      <c r="C3676" s="1" t="n">
        <v>45586</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29526-2020</t>
        </is>
      </c>
      <c r="B3677" s="1" t="n">
        <v>44005</v>
      </c>
      <c r="C3677" s="1" t="n">
        <v>45586</v>
      </c>
      <c r="D3677" t="inlineStr">
        <is>
          <t>VÄSTRA GÖTALANDS LÄN</t>
        </is>
      </c>
      <c r="E3677" t="inlineStr">
        <is>
          <t>VÅRGÅRDA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29511-2020</t>
        </is>
      </c>
      <c r="B3678" s="1" t="n">
        <v>44005</v>
      </c>
      <c r="C3678" s="1" t="n">
        <v>45586</v>
      </c>
      <c r="D3678" t="inlineStr">
        <is>
          <t>VÄSTRA GÖTALANDS LÄN</t>
        </is>
      </c>
      <c r="E3678" t="inlineStr">
        <is>
          <t>TIBRO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29602-2020</t>
        </is>
      </c>
      <c r="B3679" s="1" t="n">
        <v>44005</v>
      </c>
      <c r="C3679" s="1" t="n">
        <v>45586</v>
      </c>
      <c r="D3679" t="inlineStr">
        <is>
          <t>VÄSTRA GÖTALANDS LÄN</t>
        </is>
      </c>
      <c r="E3679" t="inlineStr">
        <is>
          <t>MÖLNDAL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29664-2020</t>
        </is>
      </c>
      <c r="B3680" s="1" t="n">
        <v>44005</v>
      </c>
      <c r="C3680" s="1" t="n">
        <v>45586</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29730-2020</t>
        </is>
      </c>
      <c r="B3681" s="1" t="n">
        <v>44005</v>
      </c>
      <c r="C3681" s="1" t="n">
        <v>45586</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29727-2020</t>
        </is>
      </c>
      <c r="B3682" s="1" t="n">
        <v>44005</v>
      </c>
      <c r="C3682" s="1" t="n">
        <v>45586</v>
      </c>
      <c r="D3682" t="inlineStr">
        <is>
          <t>VÄSTRA GÖTALANDS LÄN</t>
        </is>
      </c>
      <c r="E3682" t="inlineStr">
        <is>
          <t>MARK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29772-2020</t>
        </is>
      </c>
      <c r="B3683" s="1" t="n">
        <v>44005</v>
      </c>
      <c r="C3683" s="1" t="n">
        <v>45586</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29844-2020</t>
        </is>
      </c>
      <c r="B3684" s="1" t="n">
        <v>44005</v>
      </c>
      <c r="C3684" s="1" t="n">
        <v>45586</v>
      </c>
      <c r="D3684" t="inlineStr">
        <is>
          <t>VÄSTRA GÖTALANDS LÄN</t>
        </is>
      </c>
      <c r="E3684" t="inlineStr">
        <is>
          <t>ÅMÅL</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29910-2020</t>
        </is>
      </c>
      <c r="B3685" s="1" t="n">
        <v>44006</v>
      </c>
      <c r="C3685" s="1" t="n">
        <v>45586</v>
      </c>
      <c r="D3685" t="inlineStr">
        <is>
          <t>VÄSTRA GÖTALANDS LÄN</t>
        </is>
      </c>
      <c r="E3685" t="inlineStr">
        <is>
          <t>TÖREBODA</t>
        </is>
      </c>
      <c r="F3685" t="inlineStr">
        <is>
          <t>Sveaskog</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29860-2020</t>
        </is>
      </c>
      <c r="B3686" s="1" t="n">
        <v>44006</v>
      </c>
      <c r="C3686" s="1" t="n">
        <v>45586</v>
      </c>
      <c r="D3686" t="inlineStr">
        <is>
          <t>VÄSTRA GÖTALANDS LÄN</t>
        </is>
      </c>
      <c r="E3686" t="inlineStr">
        <is>
          <t>BENGTSFORS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29952-2020</t>
        </is>
      </c>
      <c r="B3687" s="1" t="n">
        <v>44006</v>
      </c>
      <c r="C3687" s="1" t="n">
        <v>45586</v>
      </c>
      <c r="D3687" t="inlineStr">
        <is>
          <t>VÄSTRA GÖTALANDS LÄN</t>
        </is>
      </c>
      <c r="E3687" t="inlineStr">
        <is>
          <t>ORUST</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29987-2020</t>
        </is>
      </c>
      <c r="B3688" s="1" t="n">
        <v>44006</v>
      </c>
      <c r="C3688" s="1" t="n">
        <v>45586</v>
      </c>
      <c r="D3688" t="inlineStr">
        <is>
          <t>VÄSTRA GÖTALANDS LÄN</t>
        </is>
      </c>
      <c r="E3688" t="inlineStr">
        <is>
          <t>TANUM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30033-2020</t>
        </is>
      </c>
      <c r="B3689" s="1" t="n">
        <v>44006</v>
      </c>
      <c r="C3689" s="1" t="n">
        <v>45586</v>
      </c>
      <c r="D3689" t="inlineStr">
        <is>
          <t>VÄSTRA GÖTALANDS LÄN</t>
        </is>
      </c>
      <c r="E3689" t="inlineStr">
        <is>
          <t>STRÖMSTAD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29961-2020</t>
        </is>
      </c>
      <c r="B3690" s="1" t="n">
        <v>44006</v>
      </c>
      <c r="C3690" s="1" t="n">
        <v>45586</v>
      </c>
      <c r="D3690" t="inlineStr">
        <is>
          <t>VÄSTRA GÖTALANDS LÄN</t>
        </is>
      </c>
      <c r="E3690" t="inlineStr">
        <is>
          <t>TRANEMO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29995-2020</t>
        </is>
      </c>
      <c r="B3691" s="1" t="n">
        <v>44006</v>
      </c>
      <c r="C3691" s="1" t="n">
        <v>45586</v>
      </c>
      <c r="D3691" t="inlineStr">
        <is>
          <t>VÄSTRA GÖTALANDS LÄN</t>
        </is>
      </c>
      <c r="E3691" t="inlineStr">
        <is>
          <t>FÄRGELANDA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29914-2020</t>
        </is>
      </c>
      <c r="B3692" s="1" t="n">
        <v>44006</v>
      </c>
      <c r="C3692" s="1" t="n">
        <v>45586</v>
      </c>
      <c r="D3692" t="inlineStr">
        <is>
          <t>VÄSTRA GÖTALANDS LÄN</t>
        </is>
      </c>
      <c r="E3692" t="inlineStr">
        <is>
          <t>UDDEVALLA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29953-2020</t>
        </is>
      </c>
      <c r="B3693" s="1" t="n">
        <v>44006</v>
      </c>
      <c r="C3693" s="1" t="n">
        <v>45586</v>
      </c>
      <c r="D3693" t="inlineStr">
        <is>
          <t>VÄSTRA GÖTALANDS LÄN</t>
        </is>
      </c>
      <c r="E3693" t="inlineStr">
        <is>
          <t>BOLLEBYGD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29980-2020</t>
        </is>
      </c>
      <c r="B3694" s="1" t="n">
        <v>44006</v>
      </c>
      <c r="C3694" s="1" t="n">
        <v>45586</v>
      </c>
      <c r="D3694" t="inlineStr">
        <is>
          <t>VÄSTRA GÖTALANDS LÄN</t>
        </is>
      </c>
      <c r="E3694" t="inlineStr">
        <is>
          <t>FÄRGELANDA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29928-2020</t>
        </is>
      </c>
      <c r="B3695" s="1" t="n">
        <v>44006</v>
      </c>
      <c r="C3695" s="1" t="n">
        <v>45586</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30086-2020</t>
        </is>
      </c>
      <c r="B3696" s="1" t="n">
        <v>44006</v>
      </c>
      <c r="C3696" s="1" t="n">
        <v>45586</v>
      </c>
      <c r="D3696" t="inlineStr">
        <is>
          <t>VÄSTRA GÖTALANDS LÄN</t>
        </is>
      </c>
      <c r="E3696" t="inlineStr">
        <is>
          <t>KUNGÄLV</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30004-2020</t>
        </is>
      </c>
      <c r="B3697" s="1" t="n">
        <v>44006</v>
      </c>
      <c r="C3697" s="1" t="n">
        <v>45586</v>
      </c>
      <c r="D3697" t="inlineStr">
        <is>
          <t>VÄSTRA GÖTALANDS LÄN</t>
        </is>
      </c>
      <c r="E3697" t="inlineStr">
        <is>
          <t>VARA</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30244-2020</t>
        </is>
      </c>
      <c r="B3698" s="1" t="n">
        <v>44006</v>
      </c>
      <c r="C3698" s="1" t="n">
        <v>45586</v>
      </c>
      <c r="D3698" t="inlineStr">
        <is>
          <t>VÄSTRA GÖTALANDS LÄN</t>
        </is>
      </c>
      <c r="E3698" t="inlineStr">
        <is>
          <t>TANUM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29993-2020</t>
        </is>
      </c>
      <c r="B3699" s="1" t="n">
        <v>44006</v>
      </c>
      <c r="C3699" s="1" t="n">
        <v>45586</v>
      </c>
      <c r="D3699" t="inlineStr">
        <is>
          <t>VÄSTRA GÖTALANDS LÄN</t>
        </is>
      </c>
      <c r="E3699" t="inlineStr">
        <is>
          <t>FÄRGELANDA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30236-2020</t>
        </is>
      </c>
      <c r="B3700" s="1" t="n">
        <v>44006</v>
      </c>
      <c r="C3700" s="1" t="n">
        <v>45586</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30140-2020</t>
        </is>
      </c>
      <c r="B3701" s="1" t="n">
        <v>44007</v>
      </c>
      <c r="C3701" s="1" t="n">
        <v>45586</v>
      </c>
      <c r="D3701" t="inlineStr">
        <is>
          <t>VÄSTRA GÖTALANDS LÄN</t>
        </is>
      </c>
      <c r="E3701" t="inlineStr">
        <is>
          <t>BOLLEBYGD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30231-2020</t>
        </is>
      </c>
      <c r="B3702" s="1" t="n">
        <v>44007</v>
      </c>
      <c r="C3702" s="1" t="n">
        <v>45586</v>
      </c>
      <c r="D3702" t="inlineStr">
        <is>
          <t>VÄSTRA GÖTALANDS LÄN</t>
        </is>
      </c>
      <c r="E3702" t="inlineStr">
        <is>
          <t>TIDAHOLM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30233-2020</t>
        </is>
      </c>
      <c r="B3703" s="1" t="n">
        <v>44007</v>
      </c>
      <c r="C3703" s="1" t="n">
        <v>45586</v>
      </c>
      <c r="D3703" t="inlineStr">
        <is>
          <t>VÄSTRA GÖTALANDS LÄN</t>
        </is>
      </c>
      <c r="E3703" t="inlineStr">
        <is>
          <t>BENGTSFORS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30317-2020</t>
        </is>
      </c>
      <c r="B3704" s="1" t="n">
        <v>44007</v>
      </c>
      <c r="C3704" s="1" t="n">
        <v>45586</v>
      </c>
      <c r="D3704" t="inlineStr">
        <is>
          <t>VÄSTRA GÖTALANDS LÄN</t>
        </is>
      </c>
      <c r="E3704" t="inlineStr">
        <is>
          <t>MELLERUD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30351-2020</t>
        </is>
      </c>
      <c r="B3705" s="1" t="n">
        <v>44007</v>
      </c>
      <c r="C3705" s="1" t="n">
        <v>45586</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30178-2020</t>
        </is>
      </c>
      <c r="B3706" s="1" t="n">
        <v>44007</v>
      </c>
      <c r="C3706" s="1" t="n">
        <v>45586</v>
      </c>
      <c r="D3706" t="inlineStr">
        <is>
          <t>VÄSTRA GÖTALANDS LÄN</t>
        </is>
      </c>
      <c r="E3706" t="inlineStr">
        <is>
          <t>GÖTENE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30212-2020</t>
        </is>
      </c>
      <c r="B3707" s="1" t="n">
        <v>44007</v>
      </c>
      <c r="C3707" s="1" t="n">
        <v>45586</v>
      </c>
      <c r="D3707" t="inlineStr">
        <is>
          <t>VÄSTRA GÖTALANDS LÄN</t>
        </is>
      </c>
      <c r="E3707" t="inlineStr">
        <is>
          <t>HJO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30274-2020</t>
        </is>
      </c>
      <c r="B3708" s="1" t="n">
        <v>44007</v>
      </c>
      <c r="C3708" s="1" t="n">
        <v>45586</v>
      </c>
      <c r="D3708" t="inlineStr">
        <is>
          <t>VÄSTRA GÖTALANDS LÄN</t>
        </is>
      </c>
      <c r="E3708" t="inlineStr">
        <is>
          <t>BENGTSFORS</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30311-2020</t>
        </is>
      </c>
      <c r="B3709" s="1" t="n">
        <v>44007</v>
      </c>
      <c r="C3709" s="1" t="n">
        <v>45586</v>
      </c>
      <c r="D3709" t="inlineStr">
        <is>
          <t>VÄSTRA GÖTALANDS LÄN</t>
        </is>
      </c>
      <c r="E3709" t="inlineStr">
        <is>
          <t>ALINGSÅS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30355-2020</t>
        </is>
      </c>
      <c r="B3710" s="1" t="n">
        <v>44007</v>
      </c>
      <c r="C3710" s="1" t="n">
        <v>45586</v>
      </c>
      <c r="D3710" t="inlineStr">
        <is>
          <t>VÄSTRA GÖTALANDS LÄN</t>
        </is>
      </c>
      <c r="E3710" t="inlineStr">
        <is>
          <t>LIDKÖPING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30529-2020</t>
        </is>
      </c>
      <c r="B3711" s="1" t="n">
        <v>44007</v>
      </c>
      <c r="C3711" s="1" t="n">
        <v>45586</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30534-2020</t>
        </is>
      </c>
      <c r="B3712" s="1" t="n">
        <v>44007</v>
      </c>
      <c r="C3712" s="1" t="n">
        <v>45586</v>
      </c>
      <c r="D3712" t="inlineStr">
        <is>
          <t>VÄSTRA GÖTALANDS LÄN</t>
        </is>
      </c>
      <c r="E3712" t="inlineStr">
        <is>
          <t>MELLERUD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30614-2020</t>
        </is>
      </c>
      <c r="B3713" s="1" t="n">
        <v>44008</v>
      </c>
      <c r="C3713" s="1" t="n">
        <v>45586</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30612-2020</t>
        </is>
      </c>
      <c r="B3714" s="1" t="n">
        <v>44008</v>
      </c>
      <c r="C3714" s="1" t="n">
        <v>45586</v>
      </c>
      <c r="D3714" t="inlineStr">
        <is>
          <t>VÄSTRA GÖTALANDS LÄN</t>
        </is>
      </c>
      <c r="E3714" t="inlineStr">
        <is>
          <t>SVENLJUNGA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30780-2020</t>
        </is>
      </c>
      <c r="B3715" s="1" t="n">
        <v>44010</v>
      </c>
      <c r="C3715" s="1" t="n">
        <v>45586</v>
      </c>
      <c r="D3715" t="inlineStr">
        <is>
          <t>VÄSTRA GÖTALANDS LÄN</t>
        </is>
      </c>
      <c r="E3715" t="inlineStr">
        <is>
          <t>ULRICEHAMN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30984-2020</t>
        </is>
      </c>
      <c r="B3716" s="1" t="n">
        <v>44011</v>
      </c>
      <c r="C3716" s="1" t="n">
        <v>45586</v>
      </c>
      <c r="D3716" t="inlineStr">
        <is>
          <t>VÄSTRA GÖTALANDS LÄN</t>
        </is>
      </c>
      <c r="E3716" t="inlineStr">
        <is>
          <t>TROLLHÄTTAN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30835-2020</t>
        </is>
      </c>
      <c r="B3717" s="1" t="n">
        <v>44011</v>
      </c>
      <c r="C3717" s="1" t="n">
        <v>45586</v>
      </c>
      <c r="D3717" t="inlineStr">
        <is>
          <t>VÄSTRA GÖTALANDS LÄN</t>
        </is>
      </c>
      <c r="E3717" t="inlineStr">
        <is>
          <t>MUNKEDAL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31013-2020</t>
        </is>
      </c>
      <c r="B3718" s="1" t="n">
        <v>44011</v>
      </c>
      <c r="C3718" s="1" t="n">
        <v>45586</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31099-2020</t>
        </is>
      </c>
      <c r="B3719" s="1" t="n">
        <v>44012</v>
      </c>
      <c r="C3719" s="1" t="n">
        <v>45586</v>
      </c>
      <c r="D3719" t="inlineStr">
        <is>
          <t>VÄSTRA GÖTALANDS LÄN</t>
        </is>
      </c>
      <c r="E3719" t="inlineStr">
        <is>
          <t>SKARA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31128-2020</t>
        </is>
      </c>
      <c r="B3720" s="1" t="n">
        <v>44012</v>
      </c>
      <c r="C3720" s="1" t="n">
        <v>45586</v>
      </c>
      <c r="D3720" t="inlineStr">
        <is>
          <t>VÄSTRA GÖTALANDS LÄN</t>
        </is>
      </c>
      <c r="E3720" t="inlineStr">
        <is>
          <t>VÄNERSBORG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31068-2020</t>
        </is>
      </c>
      <c r="B3721" s="1" t="n">
        <v>44012</v>
      </c>
      <c r="C3721" s="1" t="n">
        <v>45586</v>
      </c>
      <c r="D3721" t="inlineStr">
        <is>
          <t>VÄSTRA GÖTALANDS LÄN</t>
        </is>
      </c>
      <c r="E3721" t="inlineStr">
        <is>
          <t>UDDEVALLA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31092-2020</t>
        </is>
      </c>
      <c r="B3722" s="1" t="n">
        <v>44012</v>
      </c>
      <c r="C3722" s="1" t="n">
        <v>45586</v>
      </c>
      <c r="D3722" t="inlineStr">
        <is>
          <t>VÄSTRA GÖTALANDS LÄN</t>
        </is>
      </c>
      <c r="E3722" t="inlineStr">
        <is>
          <t>TIDAHOLM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31066-2020</t>
        </is>
      </c>
      <c r="B3723" s="1" t="n">
        <v>44012</v>
      </c>
      <c r="C3723" s="1" t="n">
        <v>45586</v>
      </c>
      <c r="D3723" t="inlineStr">
        <is>
          <t>VÄSTRA GÖTALANDS LÄN</t>
        </is>
      </c>
      <c r="E3723" t="inlineStr">
        <is>
          <t>UDDEVALLA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31205-2020</t>
        </is>
      </c>
      <c r="B3724" s="1" t="n">
        <v>44012</v>
      </c>
      <c r="C3724" s="1" t="n">
        <v>45586</v>
      </c>
      <c r="D3724" t="inlineStr">
        <is>
          <t>VÄSTRA GÖTALANDS LÄN</t>
        </is>
      </c>
      <c r="E3724" t="inlineStr">
        <is>
          <t>MELLERUD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31220-2020</t>
        </is>
      </c>
      <c r="B3725" s="1" t="n">
        <v>44012</v>
      </c>
      <c r="C3725" s="1" t="n">
        <v>45586</v>
      </c>
      <c r="D3725" t="inlineStr">
        <is>
          <t>VÄSTRA GÖTALANDS LÄN</t>
        </is>
      </c>
      <c r="E3725" t="inlineStr">
        <is>
          <t>UDDEVALLA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31267-2020</t>
        </is>
      </c>
      <c r="B3726" s="1" t="n">
        <v>44012</v>
      </c>
      <c r="C3726" s="1" t="n">
        <v>45586</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31191-2020</t>
        </is>
      </c>
      <c r="B3727" s="1" t="n">
        <v>44012</v>
      </c>
      <c r="C3727" s="1" t="n">
        <v>45586</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31247-2020</t>
        </is>
      </c>
      <c r="B3728" s="1" t="n">
        <v>44012</v>
      </c>
      <c r="C3728" s="1" t="n">
        <v>45586</v>
      </c>
      <c r="D3728" t="inlineStr">
        <is>
          <t>VÄSTRA GÖTALANDS LÄN</t>
        </is>
      </c>
      <c r="E3728" t="inlineStr">
        <is>
          <t>ALE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31254-2020</t>
        </is>
      </c>
      <c r="B3729" s="1" t="n">
        <v>44012</v>
      </c>
      <c r="C3729" s="1" t="n">
        <v>45586</v>
      </c>
      <c r="D3729" t="inlineStr">
        <is>
          <t>VÄSTRA GÖTALANDS LÄN</t>
        </is>
      </c>
      <c r="E3729" t="inlineStr">
        <is>
          <t>BORÅS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31260-2020</t>
        </is>
      </c>
      <c r="B3730" s="1" t="n">
        <v>44012</v>
      </c>
      <c r="C3730" s="1" t="n">
        <v>45586</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31400-2020</t>
        </is>
      </c>
      <c r="B3731" s="1" t="n">
        <v>44012</v>
      </c>
      <c r="C3731" s="1" t="n">
        <v>45586</v>
      </c>
      <c r="D3731" t="inlineStr">
        <is>
          <t>VÄSTRA GÖTALANDS LÄN</t>
        </is>
      </c>
      <c r="E3731" t="inlineStr">
        <is>
          <t>LIDKÖPING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31365-2020</t>
        </is>
      </c>
      <c r="B3732" s="1" t="n">
        <v>44013</v>
      </c>
      <c r="C3732" s="1" t="n">
        <v>45586</v>
      </c>
      <c r="D3732" t="inlineStr">
        <is>
          <t>VÄSTRA GÖTALANDS LÄN</t>
        </is>
      </c>
      <c r="E3732" t="inlineStr">
        <is>
          <t>FÄRGELANDA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31460-2020</t>
        </is>
      </c>
      <c r="B3733" s="1" t="n">
        <v>44013</v>
      </c>
      <c r="C3733" s="1" t="n">
        <v>45586</v>
      </c>
      <c r="D3733" t="inlineStr">
        <is>
          <t>VÄSTRA GÖTALANDS LÄN</t>
        </is>
      </c>
      <c r="E3733" t="inlineStr">
        <is>
          <t>ALINGSÅS</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31523-2020</t>
        </is>
      </c>
      <c r="B3734" s="1" t="n">
        <v>44013</v>
      </c>
      <c r="C3734" s="1" t="n">
        <v>45586</v>
      </c>
      <c r="D3734" t="inlineStr">
        <is>
          <t>VÄSTRA GÖTALANDS LÄN</t>
        </is>
      </c>
      <c r="E3734" t="inlineStr">
        <is>
          <t>BORÅS</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31466-2020</t>
        </is>
      </c>
      <c r="B3735" s="1" t="n">
        <v>44013</v>
      </c>
      <c r="C3735" s="1" t="n">
        <v>45586</v>
      </c>
      <c r="D3735" t="inlineStr">
        <is>
          <t>VÄSTRA GÖTALANDS LÄN</t>
        </is>
      </c>
      <c r="E3735" t="inlineStr">
        <is>
          <t>ALINGSÅS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31476-2020</t>
        </is>
      </c>
      <c r="B3736" s="1" t="n">
        <v>44013</v>
      </c>
      <c r="C3736" s="1" t="n">
        <v>45586</v>
      </c>
      <c r="D3736" t="inlineStr">
        <is>
          <t>VÄSTRA GÖTALANDS LÄN</t>
        </is>
      </c>
      <c r="E3736" t="inlineStr">
        <is>
          <t>LILLA EDET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31364-2020</t>
        </is>
      </c>
      <c r="B3737" s="1" t="n">
        <v>44013</v>
      </c>
      <c r="C3737" s="1" t="n">
        <v>45586</v>
      </c>
      <c r="D3737" t="inlineStr">
        <is>
          <t>VÄSTRA GÖTALANDS LÄN</t>
        </is>
      </c>
      <c r="E3737" t="inlineStr">
        <is>
          <t>FÄRGELANDA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31478-2020</t>
        </is>
      </c>
      <c r="B3738" s="1" t="n">
        <v>44013</v>
      </c>
      <c r="C3738" s="1" t="n">
        <v>45586</v>
      </c>
      <c r="D3738" t="inlineStr">
        <is>
          <t>VÄSTRA GÖTALANDS LÄN</t>
        </is>
      </c>
      <c r="E3738" t="inlineStr">
        <is>
          <t>ALINGSÅS</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31489-2020</t>
        </is>
      </c>
      <c r="B3739" s="1" t="n">
        <v>44013</v>
      </c>
      <c r="C3739" s="1" t="n">
        <v>45586</v>
      </c>
      <c r="D3739" t="inlineStr">
        <is>
          <t>VÄSTRA GÖTALANDS LÄN</t>
        </is>
      </c>
      <c r="E3739" t="inlineStr">
        <is>
          <t>HJO</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31605-2020</t>
        </is>
      </c>
      <c r="B3740" s="1" t="n">
        <v>44013</v>
      </c>
      <c r="C3740" s="1" t="n">
        <v>45586</v>
      </c>
      <c r="D3740" t="inlineStr">
        <is>
          <t>VÄSTRA GÖTALANDS LÄN</t>
        </is>
      </c>
      <c r="E3740" t="inlineStr">
        <is>
          <t>TIDAHOLM</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31792-2020</t>
        </is>
      </c>
      <c r="B3741" s="1" t="n">
        <v>44014</v>
      </c>
      <c r="C3741" s="1" t="n">
        <v>45586</v>
      </c>
      <c r="D3741" t="inlineStr">
        <is>
          <t>VÄSTRA GÖTALANDS LÄN</t>
        </is>
      </c>
      <c r="E3741" t="inlineStr">
        <is>
          <t>TJÖRN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31713-2020</t>
        </is>
      </c>
      <c r="B3742" s="1" t="n">
        <v>44014</v>
      </c>
      <c r="C3742" s="1" t="n">
        <v>45586</v>
      </c>
      <c r="D3742" t="inlineStr">
        <is>
          <t>VÄSTRA GÖTALANDS LÄN</t>
        </is>
      </c>
      <c r="E3742" t="inlineStr">
        <is>
          <t>MUNKEDAL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31795-2020</t>
        </is>
      </c>
      <c r="B3743" s="1" t="n">
        <v>44014</v>
      </c>
      <c r="C3743" s="1" t="n">
        <v>45586</v>
      </c>
      <c r="D3743" t="inlineStr">
        <is>
          <t>VÄSTRA GÖTALANDS LÄN</t>
        </is>
      </c>
      <c r="E3743" t="inlineStr">
        <is>
          <t>TJÖRN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31819-2020</t>
        </is>
      </c>
      <c r="B3744" s="1" t="n">
        <v>44014</v>
      </c>
      <c r="C3744" s="1" t="n">
        <v>45586</v>
      </c>
      <c r="D3744" t="inlineStr">
        <is>
          <t>VÄSTRA GÖTALANDS LÄN</t>
        </is>
      </c>
      <c r="E3744" t="inlineStr">
        <is>
          <t>TANUM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31941-2020</t>
        </is>
      </c>
      <c r="B3745" s="1" t="n">
        <v>44014</v>
      </c>
      <c r="C3745" s="1" t="n">
        <v>45586</v>
      </c>
      <c r="D3745" t="inlineStr">
        <is>
          <t>VÄSTRA GÖTALANDS LÄN</t>
        </is>
      </c>
      <c r="E3745" t="inlineStr">
        <is>
          <t>MELLERUD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31959-2020</t>
        </is>
      </c>
      <c r="B3746" s="1" t="n">
        <v>44014</v>
      </c>
      <c r="C3746" s="1" t="n">
        <v>45586</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32111-2020</t>
        </is>
      </c>
      <c r="B3747" s="1" t="n">
        <v>44014</v>
      </c>
      <c r="C3747" s="1" t="n">
        <v>45586</v>
      </c>
      <c r="D3747" t="inlineStr">
        <is>
          <t>VÄSTRA GÖTALANDS LÄN</t>
        </is>
      </c>
      <c r="E3747" t="inlineStr">
        <is>
          <t>DALS-ED</t>
        </is>
      </c>
      <c r="F3747" t="inlineStr">
        <is>
          <t>Kyrkan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32124-2020</t>
        </is>
      </c>
      <c r="B3748" s="1" t="n">
        <v>44014</v>
      </c>
      <c r="C3748" s="1" t="n">
        <v>45586</v>
      </c>
      <c r="D3748" t="inlineStr">
        <is>
          <t>VÄSTRA GÖTALANDS LÄN</t>
        </is>
      </c>
      <c r="E3748" t="inlineStr">
        <is>
          <t>MUNKEDAL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31879-2020</t>
        </is>
      </c>
      <c r="B3749" s="1" t="n">
        <v>44014</v>
      </c>
      <c r="C3749" s="1" t="n">
        <v>45586</v>
      </c>
      <c r="D3749" t="inlineStr">
        <is>
          <t>VÄSTRA GÖTALANDS LÄN</t>
        </is>
      </c>
      <c r="E3749" t="inlineStr">
        <is>
          <t>VÄNERSBORG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32125-2020</t>
        </is>
      </c>
      <c r="B3750" s="1" t="n">
        <v>44014</v>
      </c>
      <c r="C3750" s="1" t="n">
        <v>45586</v>
      </c>
      <c r="D3750" t="inlineStr">
        <is>
          <t>VÄSTRA GÖTALANDS LÄN</t>
        </is>
      </c>
      <c r="E3750" t="inlineStr">
        <is>
          <t>MUNKEDAL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32100-2020</t>
        </is>
      </c>
      <c r="B3751" s="1" t="n">
        <v>44014</v>
      </c>
      <c r="C3751" s="1" t="n">
        <v>45586</v>
      </c>
      <c r="D3751" t="inlineStr">
        <is>
          <t>VÄSTRA GÖTALANDS LÄN</t>
        </is>
      </c>
      <c r="E3751" t="inlineStr">
        <is>
          <t>DALS-ED</t>
        </is>
      </c>
      <c r="F3751" t="inlineStr">
        <is>
          <t>Kyrkan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32191-2020</t>
        </is>
      </c>
      <c r="B3752" s="1" t="n">
        <v>44015</v>
      </c>
      <c r="C3752" s="1" t="n">
        <v>45586</v>
      </c>
      <c r="D3752" t="inlineStr">
        <is>
          <t>VÄSTRA GÖTALANDS LÄN</t>
        </is>
      </c>
      <c r="E3752" t="inlineStr">
        <is>
          <t>BENGTSFORS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32157-2020</t>
        </is>
      </c>
      <c r="B3753" s="1" t="n">
        <v>44015</v>
      </c>
      <c r="C3753" s="1" t="n">
        <v>45586</v>
      </c>
      <c r="D3753" t="inlineStr">
        <is>
          <t>VÄSTRA GÖTALANDS LÄN</t>
        </is>
      </c>
      <c r="E3753" t="inlineStr">
        <is>
          <t>STENUNGSUND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32021-2020</t>
        </is>
      </c>
      <c r="B3754" s="1" t="n">
        <v>44015</v>
      </c>
      <c r="C3754" s="1" t="n">
        <v>45586</v>
      </c>
      <c r="D3754" t="inlineStr">
        <is>
          <t>VÄSTRA GÖTALANDS LÄN</t>
        </is>
      </c>
      <c r="E3754" t="inlineStr">
        <is>
          <t>MARIESTAD</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32121-2020</t>
        </is>
      </c>
      <c r="B3755" s="1" t="n">
        <v>44015</v>
      </c>
      <c r="C3755" s="1" t="n">
        <v>45586</v>
      </c>
      <c r="D3755" t="inlineStr">
        <is>
          <t>VÄSTRA GÖTALANDS LÄN</t>
        </is>
      </c>
      <c r="E3755" t="inlineStr">
        <is>
          <t>TIDAHOLM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32082-2020</t>
        </is>
      </c>
      <c r="B3756" s="1" t="n">
        <v>44015</v>
      </c>
      <c r="C3756" s="1" t="n">
        <v>45586</v>
      </c>
      <c r="D3756" t="inlineStr">
        <is>
          <t>VÄSTRA GÖTALANDS LÄN</t>
        </is>
      </c>
      <c r="E3756" t="inlineStr">
        <is>
          <t>MUNKEDAL</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32062-2020</t>
        </is>
      </c>
      <c r="B3757" s="1" t="n">
        <v>44015</v>
      </c>
      <c r="C3757" s="1" t="n">
        <v>45586</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32337-2020</t>
        </is>
      </c>
      <c r="B3758" s="1" t="n">
        <v>44016</v>
      </c>
      <c r="C3758" s="1" t="n">
        <v>45586</v>
      </c>
      <c r="D3758" t="inlineStr">
        <is>
          <t>VÄSTRA GÖTALANDS LÄN</t>
        </is>
      </c>
      <c r="E3758" t="inlineStr">
        <is>
          <t>FÄRGELANDA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32443-2020</t>
        </is>
      </c>
      <c r="B3759" s="1" t="n">
        <v>44018</v>
      </c>
      <c r="C3759" s="1" t="n">
        <v>45586</v>
      </c>
      <c r="D3759" t="inlineStr">
        <is>
          <t>VÄSTRA GÖTALANDS LÄN</t>
        </is>
      </c>
      <c r="E3759" t="inlineStr">
        <is>
          <t>BOLLEBYGD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32423-2020</t>
        </is>
      </c>
      <c r="B3760" s="1" t="n">
        <v>44018</v>
      </c>
      <c r="C3760" s="1" t="n">
        <v>45586</v>
      </c>
      <c r="D3760" t="inlineStr">
        <is>
          <t>VÄSTRA GÖTALANDS LÄN</t>
        </is>
      </c>
      <c r="E3760" t="inlineStr">
        <is>
          <t>UDDEVALLA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32420-2020</t>
        </is>
      </c>
      <c r="B3761" s="1" t="n">
        <v>44018</v>
      </c>
      <c r="C3761" s="1" t="n">
        <v>45586</v>
      </c>
      <c r="D3761" t="inlineStr">
        <is>
          <t>VÄSTRA GÖTALANDS LÄN</t>
        </is>
      </c>
      <c r="E3761" t="inlineStr">
        <is>
          <t>UDDEVALLA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32518-2020</t>
        </is>
      </c>
      <c r="B3762" s="1" t="n">
        <v>44018</v>
      </c>
      <c r="C3762" s="1" t="n">
        <v>45586</v>
      </c>
      <c r="D3762" t="inlineStr">
        <is>
          <t>VÄSTRA GÖTALANDS LÄN</t>
        </is>
      </c>
      <c r="E3762" t="inlineStr">
        <is>
          <t>MARK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32458-2020</t>
        </is>
      </c>
      <c r="B3763" s="1" t="n">
        <v>44018</v>
      </c>
      <c r="C3763" s="1" t="n">
        <v>45586</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32543-2020</t>
        </is>
      </c>
      <c r="B3764" s="1" t="n">
        <v>44018</v>
      </c>
      <c r="C3764" s="1" t="n">
        <v>45586</v>
      </c>
      <c r="D3764" t="inlineStr">
        <is>
          <t>VÄSTRA GÖTALANDS LÄN</t>
        </is>
      </c>
      <c r="E3764" t="inlineStr">
        <is>
          <t>TANUM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32569-2020</t>
        </is>
      </c>
      <c r="B3765" s="1" t="n">
        <v>44018</v>
      </c>
      <c r="C3765" s="1" t="n">
        <v>45586</v>
      </c>
      <c r="D3765" t="inlineStr">
        <is>
          <t>VÄSTRA GÖTALANDS LÄN</t>
        </is>
      </c>
      <c r="E3765" t="inlineStr">
        <is>
          <t>TANUM</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32656-2020</t>
        </is>
      </c>
      <c r="B3766" s="1" t="n">
        <v>44018</v>
      </c>
      <c r="C3766" s="1" t="n">
        <v>45586</v>
      </c>
      <c r="D3766" t="inlineStr">
        <is>
          <t>VÄSTRA GÖTALANDS LÄN</t>
        </is>
      </c>
      <c r="E3766" t="inlineStr">
        <is>
          <t>GULLSPÅNG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32913-2020</t>
        </is>
      </c>
      <c r="B3767" s="1" t="n">
        <v>44018</v>
      </c>
      <c r="C3767" s="1" t="n">
        <v>45586</v>
      </c>
      <c r="D3767" t="inlineStr">
        <is>
          <t>VÄSTRA GÖTALANDS LÄN</t>
        </is>
      </c>
      <c r="E3767" t="inlineStr">
        <is>
          <t>SKÖVDE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32576-2020</t>
        </is>
      </c>
      <c r="B3768" s="1" t="n">
        <v>44018</v>
      </c>
      <c r="C3768" s="1" t="n">
        <v>45586</v>
      </c>
      <c r="D3768" t="inlineStr">
        <is>
          <t>VÄSTRA GÖTALANDS LÄN</t>
        </is>
      </c>
      <c r="E3768" t="inlineStr">
        <is>
          <t>SVENLJUNGA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32706-2020</t>
        </is>
      </c>
      <c r="B3769" s="1" t="n">
        <v>44018</v>
      </c>
      <c r="C3769" s="1" t="n">
        <v>45586</v>
      </c>
      <c r="D3769" t="inlineStr">
        <is>
          <t>VÄSTRA GÖTALANDS LÄN</t>
        </is>
      </c>
      <c r="E3769" t="inlineStr">
        <is>
          <t>BENGTSFORS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32621-2020</t>
        </is>
      </c>
      <c r="B3770" s="1" t="n">
        <v>44019</v>
      </c>
      <c r="C3770" s="1" t="n">
        <v>45586</v>
      </c>
      <c r="D3770" t="inlineStr">
        <is>
          <t>VÄSTRA GÖTALANDS LÄN</t>
        </is>
      </c>
      <c r="E3770" t="inlineStr">
        <is>
          <t>FÄRGELANDA</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32640-2020</t>
        </is>
      </c>
      <c r="B3771" s="1" t="n">
        <v>44019</v>
      </c>
      <c r="C3771" s="1" t="n">
        <v>45586</v>
      </c>
      <c r="D3771" t="inlineStr">
        <is>
          <t>VÄSTRA GÖTALANDS LÄN</t>
        </is>
      </c>
      <c r="E3771" t="inlineStr">
        <is>
          <t>FÄRGELANDA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32624-2020</t>
        </is>
      </c>
      <c r="B3772" s="1" t="n">
        <v>44019</v>
      </c>
      <c r="C3772" s="1" t="n">
        <v>45586</v>
      </c>
      <c r="D3772" t="inlineStr">
        <is>
          <t>VÄSTRA GÖTALANDS LÄN</t>
        </is>
      </c>
      <c r="E3772" t="inlineStr">
        <is>
          <t>FÄRGELANDA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32609-2020</t>
        </is>
      </c>
      <c r="B3773" s="1" t="n">
        <v>44019</v>
      </c>
      <c r="C3773" s="1" t="n">
        <v>45586</v>
      </c>
      <c r="D3773" t="inlineStr">
        <is>
          <t>VÄSTRA GÖTALANDS LÄN</t>
        </is>
      </c>
      <c r="E3773" t="inlineStr">
        <is>
          <t>STRÖMSTAD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32617-2020</t>
        </is>
      </c>
      <c r="B3774" s="1" t="n">
        <v>44019</v>
      </c>
      <c r="C3774" s="1" t="n">
        <v>45586</v>
      </c>
      <c r="D3774" t="inlineStr">
        <is>
          <t>VÄSTRA GÖTALANDS LÄN</t>
        </is>
      </c>
      <c r="E3774" t="inlineStr">
        <is>
          <t>STENUNGSUND</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32630-2020</t>
        </is>
      </c>
      <c r="B3775" s="1" t="n">
        <v>44019</v>
      </c>
      <c r="C3775" s="1" t="n">
        <v>45586</v>
      </c>
      <c r="D3775" t="inlineStr">
        <is>
          <t>VÄSTRA GÖTALANDS LÄN</t>
        </is>
      </c>
      <c r="E3775" t="inlineStr">
        <is>
          <t>STRÖMSTAD</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33037-2020</t>
        </is>
      </c>
      <c r="B3776" s="1" t="n">
        <v>44019</v>
      </c>
      <c r="C3776" s="1" t="n">
        <v>45586</v>
      </c>
      <c r="D3776" t="inlineStr">
        <is>
          <t>VÄSTRA GÖTALANDS LÄN</t>
        </is>
      </c>
      <c r="E3776" t="inlineStr">
        <is>
          <t>MARK</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33041-2020</t>
        </is>
      </c>
      <c r="B3777" s="1" t="n">
        <v>44019</v>
      </c>
      <c r="C3777" s="1" t="n">
        <v>45586</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32801-2020</t>
        </is>
      </c>
      <c r="B3778" s="1" t="n">
        <v>44020</v>
      </c>
      <c r="C3778" s="1" t="n">
        <v>45586</v>
      </c>
      <c r="D3778" t="inlineStr">
        <is>
          <t>VÄSTRA GÖTALANDS LÄN</t>
        </is>
      </c>
      <c r="E3778" t="inlineStr">
        <is>
          <t>TIDAHOLM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32865-2020</t>
        </is>
      </c>
      <c r="B3779" s="1" t="n">
        <v>44020</v>
      </c>
      <c r="C3779" s="1" t="n">
        <v>45586</v>
      </c>
      <c r="D3779" t="inlineStr">
        <is>
          <t>VÄSTRA GÖTALANDS LÄN</t>
        </is>
      </c>
      <c r="E3779" t="inlineStr">
        <is>
          <t>FALKÖPING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32868-2020</t>
        </is>
      </c>
      <c r="B3780" s="1" t="n">
        <v>44020</v>
      </c>
      <c r="C3780" s="1" t="n">
        <v>45586</v>
      </c>
      <c r="D3780" t="inlineStr">
        <is>
          <t>VÄSTRA GÖTALANDS LÄN</t>
        </is>
      </c>
      <c r="E3780" t="inlineStr">
        <is>
          <t>TROLLHÄTTAN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33015-2020</t>
        </is>
      </c>
      <c r="B3781" s="1" t="n">
        <v>44020</v>
      </c>
      <c r="C3781" s="1" t="n">
        <v>45586</v>
      </c>
      <c r="D3781" t="inlineStr">
        <is>
          <t>VÄSTRA GÖTALANDS LÄN</t>
        </is>
      </c>
      <c r="E3781" t="inlineStr">
        <is>
          <t>MARK</t>
        </is>
      </c>
      <c r="F3781" t="inlineStr">
        <is>
          <t>Sveaskog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33016-2020</t>
        </is>
      </c>
      <c r="B3782" s="1" t="n">
        <v>44020</v>
      </c>
      <c r="C3782" s="1" t="n">
        <v>45586</v>
      </c>
      <c r="D3782" t="inlineStr">
        <is>
          <t>VÄSTRA GÖTALANDS LÄN</t>
        </is>
      </c>
      <c r="E3782" t="inlineStr">
        <is>
          <t>MARK</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32788-2020</t>
        </is>
      </c>
      <c r="B3783" s="1" t="n">
        <v>44020</v>
      </c>
      <c r="C3783" s="1" t="n">
        <v>45586</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33132-2020</t>
        </is>
      </c>
      <c r="B3784" s="1" t="n">
        <v>44021</v>
      </c>
      <c r="C3784" s="1" t="n">
        <v>45586</v>
      </c>
      <c r="D3784" t="inlineStr">
        <is>
          <t>VÄSTRA GÖTALANDS LÄN</t>
        </is>
      </c>
      <c r="E3784" t="inlineStr">
        <is>
          <t>TIBRO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33084-2020</t>
        </is>
      </c>
      <c r="B3785" s="1" t="n">
        <v>44021</v>
      </c>
      <c r="C3785" s="1" t="n">
        <v>45586</v>
      </c>
      <c r="D3785" t="inlineStr">
        <is>
          <t>VÄSTRA GÖTALANDS LÄN</t>
        </is>
      </c>
      <c r="E3785" t="inlineStr">
        <is>
          <t>VÄNERSBORG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33134-2020</t>
        </is>
      </c>
      <c r="B3786" s="1" t="n">
        <v>44021</v>
      </c>
      <c r="C3786" s="1" t="n">
        <v>45586</v>
      </c>
      <c r="D3786" t="inlineStr">
        <is>
          <t>VÄSTRA GÖTALANDS LÄN</t>
        </is>
      </c>
      <c r="E3786" t="inlineStr">
        <is>
          <t>ESSUNGA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33573-2020</t>
        </is>
      </c>
      <c r="B3787" s="1" t="n">
        <v>44021</v>
      </c>
      <c r="C3787" s="1" t="n">
        <v>45586</v>
      </c>
      <c r="D3787" t="inlineStr">
        <is>
          <t>VÄSTRA GÖTALANDS LÄN</t>
        </is>
      </c>
      <c r="E3787" t="inlineStr">
        <is>
          <t>SKÖVDE</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33377-2020</t>
        </is>
      </c>
      <c r="B3788" s="1" t="n">
        <v>44021</v>
      </c>
      <c r="C3788" s="1" t="n">
        <v>45586</v>
      </c>
      <c r="D3788" t="inlineStr">
        <is>
          <t>VÄSTRA GÖTALANDS LÄN</t>
        </is>
      </c>
      <c r="E3788" t="inlineStr">
        <is>
          <t>DALS-ED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33421-2020</t>
        </is>
      </c>
      <c r="B3789" s="1" t="n">
        <v>44021</v>
      </c>
      <c r="C3789" s="1" t="n">
        <v>45586</v>
      </c>
      <c r="D3789" t="inlineStr">
        <is>
          <t>VÄSTRA GÖTALANDS LÄN</t>
        </is>
      </c>
      <c r="E3789" t="inlineStr">
        <is>
          <t>SKÖVDE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33420-2020</t>
        </is>
      </c>
      <c r="B3790" s="1" t="n">
        <v>44021</v>
      </c>
      <c r="C3790" s="1" t="n">
        <v>45586</v>
      </c>
      <c r="D3790" t="inlineStr">
        <is>
          <t>VÄSTRA GÖTALANDS LÄN</t>
        </is>
      </c>
      <c r="E3790" t="inlineStr">
        <is>
          <t>SKÖVDE</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33546-2020</t>
        </is>
      </c>
      <c r="B3791" s="1" t="n">
        <v>44021</v>
      </c>
      <c r="C3791" s="1" t="n">
        <v>45586</v>
      </c>
      <c r="D3791" t="inlineStr">
        <is>
          <t>VÄSTRA GÖTALANDS LÄN</t>
        </is>
      </c>
      <c r="E3791" t="inlineStr">
        <is>
          <t>GRÄSTORP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33394-2020</t>
        </is>
      </c>
      <c r="B3792" s="1" t="n">
        <v>44022</v>
      </c>
      <c r="C3792" s="1" t="n">
        <v>45586</v>
      </c>
      <c r="D3792" t="inlineStr">
        <is>
          <t>VÄSTRA GÖTALANDS LÄN</t>
        </is>
      </c>
      <c r="E3792" t="inlineStr">
        <is>
          <t>SKARA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33436-2020</t>
        </is>
      </c>
      <c r="B3793" s="1" t="n">
        <v>44022</v>
      </c>
      <c r="C3793" s="1" t="n">
        <v>45586</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33262-2020</t>
        </is>
      </c>
      <c r="B3794" s="1" t="n">
        <v>44022</v>
      </c>
      <c r="C3794" s="1" t="n">
        <v>45586</v>
      </c>
      <c r="D3794" t="inlineStr">
        <is>
          <t>VÄSTRA GÖTALANDS LÄN</t>
        </is>
      </c>
      <c r="E3794" t="inlineStr">
        <is>
          <t>HÄRRYDA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33404-2020</t>
        </is>
      </c>
      <c r="B3795" s="1" t="n">
        <v>44022</v>
      </c>
      <c r="C3795" s="1" t="n">
        <v>45586</v>
      </c>
      <c r="D3795" t="inlineStr">
        <is>
          <t>VÄSTRA GÖTALANDS LÄN</t>
        </is>
      </c>
      <c r="E3795" t="inlineStr">
        <is>
          <t>MARK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33698-2020</t>
        </is>
      </c>
      <c r="B3796" s="1" t="n">
        <v>44022</v>
      </c>
      <c r="C3796" s="1" t="n">
        <v>45586</v>
      </c>
      <c r="D3796" t="inlineStr">
        <is>
          <t>VÄSTRA GÖTALANDS LÄN</t>
        </is>
      </c>
      <c r="E3796" t="inlineStr">
        <is>
          <t>DALS-ED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33409-2020</t>
        </is>
      </c>
      <c r="B3797" s="1" t="n">
        <v>44022</v>
      </c>
      <c r="C3797" s="1" t="n">
        <v>45586</v>
      </c>
      <c r="D3797" t="inlineStr">
        <is>
          <t>VÄSTRA GÖTALANDS LÄN</t>
        </is>
      </c>
      <c r="E3797" t="inlineStr">
        <is>
          <t>BOLLEBYGD</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33692-2020</t>
        </is>
      </c>
      <c r="B3798" s="1" t="n">
        <v>44022</v>
      </c>
      <c r="C3798" s="1" t="n">
        <v>45586</v>
      </c>
      <c r="D3798" t="inlineStr">
        <is>
          <t>VÄSTRA GÖTALANDS LÄN</t>
        </is>
      </c>
      <c r="E3798" t="inlineStr">
        <is>
          <t>GRÄSTORP</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33651-2020</t>
        </is>
      </c>
      <c r="B3799" s="1" t="n">
        <v>44022</v>
      </c>
      <c r="C3799" s="1" t="n">
        <v>45586</v>
      </c>
      <c r="D3799" t="inlineStr">
        <is>
          <t>VÄSTRA GÖTALANDS LÄN</t>
        </is>
      </c>
      <c r="E3799" t="inlineStr">
        <is>
          <t>HJO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33706-2020</t>
        </is>
      </c>
      <c r="B3800" s="1" t="n">
        <v>44022</v>
      </c>
      <c r="C3800" s="1" t="n">
        <v>45586</v>
      </c>
      <c r="D3800" t="inlineStr">
        <is>
          <t>VÄSTRA GÖTALANDS LÄN</t>
        </is>
      </c>
      <c r="E3800" t="inlineStr">
        <is>
          <t>DALS-ED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33388-2020</t>
        </is>
      </c>
      <c r="B3801" s="1" t="n">
        <v>44022</v>
      </c>
      <c r="C3801" s="1" t="n">
        <v>45586</v>
      </c>
      <c r="D3801" t="inlineStr">
        <is>
          <t>VÄSTRA GÖTALANDS LÄN</t>
        </is>
      </c>
      <c r="E3801" t="inlineStr">
        <is>
          <t>SKARA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33481-2020</t>
        </is>
      </c>
      <c r="B3802" s="1" t="n">
        <v>44024</v>
      </c>
      <c r="C3802" s="1" t="n">
        <v>45586</v>
      </c>
      <c r="D3802" t="inlineStr">
        <is>
          <t>VÄSTRA GÖTALANDS LÄN</t>
        </is>
      </c>
      <c r="E3802" t="inlineStr">
        <is>
          <t>HERRLJUNGA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33483-2020</t>
        </is>
      </c>
      <c r="B3803" s="1" t="n">
        <v>44024</v>
      </c>
      <c r="C3803" s="1" t="n">
        <v>45586</v>
      </c>
      <c r="D3803" t="inlineStr">
        <is>
          <t>VÄSTRA GÖTALANDS LÄN</t>
        </is>
      </c>
      <c r="E3803" t="inlineStr">
        <is>
          <t>MARIESTAD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33490-2020</t>
        </is>
      </c>
      <c r="B3804" s="1" t="n">
        <v>44024</v>
      </c>
      <c r="C3804" s="1" t="n">
        <v>45586</v>
      </c>
      <c r="D3804" t="inlineStr">
        <is>
          <t>VÄSTRA GÖTALANDS LÄN</t>
        </is>
      </c>
      <c r="E3804" t="inlineStr">
        <is>
          <t>FALKÖPING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33491-2020</t>
        </is>
      </c>
      <c r="B3805" s="1" t="n">
        <v>44024</v>
      </c>
      <c r="C3805" s="1" t="n">
        <v>45586</v>
      </c>
      <c r="D3805" t="inlineStr">
        <is>
          <t>VÄSTRA GÖTALANDS LÄN</t>
        </is>
      </c>
      <c r="E3805" t="inlineStr">
        <is>
          <t>STENUNGSUND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33521-2020</t>
        </is>
      </c>
      <c r="B3806" s="1" t="n">
        <v>44025</v>
      </c>
      <c r="C3806" s="1" t="n">
        <v>45586</v>
      </c>
      <c r="D3806" t="inlineStr">
        <is>
          <t>VÄSTRA GÖTALANDS LÄN</t>
        </is>
      </c>
      <c r="E3806" t="inlineStr">
        <is>
          <t>ALINGSÅS</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33700-2020</t>
        </is>
      </c>
      <c r="B3807" s="1" t="n">
        <v>44026</v>
      </c>
      <c r="C3807" s="1" t="n">
        <v>45586</v>
      </c>
      <c r="D3807" t="inlineStr">
        <is>
          <t>VÄSTRA GÖTALANDS LÄN</t>
        </is>
      </c>
      <c r="E3807" t="inlineStr">
        <is>
          <t>VÅRGÅRDA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33656-2020</t>
        </is>
      </c>
      <c r="B3808" s="1" t="n">
        <v>44026</v>
      </c>
      <c r="C3808" s="1" t="n">
        <v>45586</v>
      </c>
      <c r="D3808" t="inlineStr">
        <is>
          <t>VÄSTRA GÖTALANDS LÄN</t>
        </is>
      </c>
      <c r="E3808" t="inlineStr">
        <is>
          <t>GÖTENE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33674-2020</t>
        </is>
      </c>
      <c r="B3809" s="1" t="n">
        <v>44026</v>
      </c>
      <c r="C3809" s="1" t="n">
        <v>45586</v>
      </c>
      <c r="D3809" t="inlineStr">
        <is>
          <t>VÄSTRA GÖTALANDS LÄN</t>
        </is>
      </c>
      <c r="E3809" t="inlineStr">
        <is>
          <t>VÄNERSBORG</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34358-2020</t>
        </is>
      </c>
      <c r="B3810" s="1" t="n">
        <v>44028</v>
      </c>
      <c r="C3810" s="1" t="n">
        <v>45586</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33978-2020</t>
        </is>
      </c>
      <c r="B3811" s="1" t="n">
        <v>44028</v>
      </c>
      <c r="C3811" s="1" t="n">
        <v>45586</v>
      </c>
      <c r="D3811" t="inlineStr">
        <is>
          <t>VÄSTRA GÖTALANDS LÄN</t>
        </is>
      </c>
      <c r="E3811" t="inlineStr">
        <is>
          <t>FÄRGELANDA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33974-2020</t>
        </is>
      </c>
      <c r="B3812" s="1" t="n">
        <v>44028</v>
      </c>
      <c r="C3812" s="1" t="n">
        <v>45586</v>
      </c>
      <c r="D3812" t="inlineStr">
        <is>
          <t>VÄSTRA GÖTALANDS LÄN</t>
        </is>
      </c>
      <c r="E3812" t="inlineStr">
        <is>
          <t>GRÄSTORP</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34041-2020</t>
        </is>
      </c>
      <c r="B3813" s="1" t="n">
        <v>44028</v>
      </c>
      <c r="C3813" s="1" t="n">
        <v>45586</v>
      </c>
      <c r="D3813" t="inlineStr">
        <is>
          <t>VÄSTRA GÖTALANDS LÄN</t>
        </is>
      </c>
      <c r="E3813" t="inlineStr">
        <is>
          <t>TIBRO</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34148-2020</t>
        </is>
      </c>
      <c r="B3814" s="1" t="n">
        <v>44029</v>
      </c>
      <c r="C3814" s="1" t="n">
        <v>45586</v>
      </c>
      <c r="D3814" t="inlineStr">
        <is>
          <t>VÄSTRA GÖTALANDS LÄN</t>
        </is>
      </c>
      <c r="E3814" t="inlineStr">
        <is>
          <t>ÅMÅL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34145-2020</t>
        </is>
      </c>
      <c r="B3815" s="1" t="n">
        <v>44029</v>
      </c>
      <c r="C3815" s="1" t="n">
        <v>45586</v>
      </c>
      <c r="D3815" t="inlineStr">
        <is>
          <t>VÄSTRA GÖTALANDS LÄN</t>
        </is>
      </c>
      <c r="E3815" t="inlineStr">
        <is>
          <t>ÅMÅL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34222-2020</t>
        </is>
      </c>
      <c r="B3816" s="1" t="n">
        <v>44029</v>
      </c>
      <c r="C3816" s="1" t="n">
        <v>45586</v>
      </c>
      <c r="D3816" t="inlineStr">
        <is>
          <t>VÄSTRA GÖTALANDS LÄN</t>
        </is>
      </c>
      <c r="E3816" t="inlineStr">
        <is>
          <t>MARIESTAD</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34123-2020</t>
        </is>
      </c>
      <c r="B3817" s="1" t="n">
        <v>44029</v>
      </c>
      <c r="C3817" s="1" t="n">
        <v>45586</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34301-2020</t>
        </is>
      </c>
      <c r="B3818" s="1" t="n">
        <v>44031</v>
      </c>
      <c r="C3818" s="1" t="n">
        <v>45586</v>
      </c>
      <c r="D3818" t="inlineStr">
        <is>
          <t>VÄSTRA GÖTALANDS LÄN</t>
        </is>
      </c>
      <c r="E3818" t="inlineStr">
        <is>
          <t>BENGTSFORS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34540-2020</t>
        </is>
      </c>
      <c r="B3819" s="1" t="n">
        <v>44032</v>
      </c>
      <c r="C3819" s="1" t="n">
        <v>45586</v>
      </c>
      <c r="D3819" t="inlineStr">
        <is>
          <t>VÄSTRA GÖTALANDS LÄN</t>
        </is>
      </c>
      <c r="E3819" t="inlineStr">
        <is>
          <t>FÄRGELANDA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34556-2020</t>
        </is>
      </c>
      <c r="B3820" s="1" t="n">
        <v>44033</v>
      </c>
      <c r="C3820" s="1" t="n">
        <v>45586</v>
      </c>
      <c r="D3820" t="inlineStr">
        <is>
          <t>VÄSTRA GÖTALANDS LÄN</t>
        </is>
      </c>
      <c r="E3820" t="inlineStr">
        <is>
          <t>BORÅS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34614-2020</t>
        </is>
      </c>
      <c r="B3821" s="1" t="n">
        <v>44034</v>
      </c>
      <c r="C3821" s="1" t="n">
        <v>45586</v>
      </c>
      <c r="D3821" t="inlineStr">
        <is>
          <t>VÄSTRA GÖTALANDS LÄN</t>
        </is>
      </c>
      <c r="E3821" t="inlineStr">
        <is>
          <t>GRÄSTORP</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34624-2020</t>
        </is>
      </c>
      <c r="B3822" s="1" t="n">
        <v>44034</v>
      </c>
      <c r="C3822" s="1" t="n">
        <v>45586</v>
      </c>
      <c r="D3822" t="inlineStr">
        <is>
          <t>VÄSTRA GÖTALANDS LÄN</t>
        </is>
      </c>
      <c r="E3822" t="inlineStr">
        <is>
          <t>KARLSBORG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34642-2020</t>
        </is>
      </c>
      <c r="B3823" s="1" t="n">
        <v>44034</v>
      </c>
      <c r="C3823" s="1" t="n">
        <v>45586</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34904-2020</t>
        </is>
      </c>
      <c r="B3824" s="1" t="n">
        <v>44034</v>
      </c>
      <c r="C3824" s="1" t="n">
        <v>45586</v>
      </c>
      <c r="D3824" t="inlineStr">
        <is>
          <t>VÄSTRA GÖTALANDS LÄN</t>
        </is>
      </c>
      <c r="E3824" t="inlineStr">
        <is>
          <t>VARA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34671-2020</t>
        </is>
      </c>
      <c r="B3825" s="1" t="n">
        <v>44035</v>
      </c>
      <c r="C3825" s="1" t="n">
        <v>45586</v>
      </c>
      <c r="D3825" t="inlineStr">
        <is>
          <t>VÄSTRA GÖTALANDS LÄN</t>
        </is>
      </c>
      <c r="E3825" t="inlineStr">
        <is>
          <t>MARK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34811-2020</t>
        </is>
      </c>
      <c r="B3826" s="1" t="n">
        <v>44035</v>
      </c>
      <c r="C3826" s="1" t="n">
        <v>45586</v>
      </c>
      <c r="D3826" t="inlineStr">
        <is>
          <t>VÄSTRA GÖTALANDS LÄN</t>
        </is>
      </c>
      <c r="E3826" t="inlineStr">
        <is>
          <t>SKÖVDE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34824-2020</t>
        </is>
      </c>
      <c r="B3827" s="1" t="n">
        <v>44036</v>
      </c>
      <c r="C3827" s="1" t="n">
        <v>45586</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34843-2020</t>
        </is>
      </c>
      <c r="B3828" s="1" t="n">
        <v>44036</v>
      </c>
      <c r="C3828" s="1" t="n">
        <v>45586</v>
      </c>
      <c r="D3828" t="inlineStr">
        <is>
          <t>VÄSTRA GÖTALANDS LÄN</t>
        </is>
      </c>
      <c r="E3828" t="inlineStr">
        <is>
          <t>SVENLJUNGA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34841-2020</t>
        </is>
      </c>
      <c r="B3829" s="1" t="n">
        <v>44036</v>
      </c>
      <c r="C3829" s="1" t="n">
        <v>45586</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34867-2020</t>
        </is>
      </c>
      <c r="B3830" s="1" t="n">
        <v>44036</v>
      </c>
      <c r="C3830" s="1" t="n">
        <v>45586</v>
      </c>
      <c r="D3830" t="inlineStr">
        <is>
          <t>VÄSTRA GÖTALANDS LÄN</t>
        </is>
      </c>
      <c r="E3830" t="inlineStr">
        <is>
          <t>MÖLNDAL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34911-2020</t>
        </is>
      </c>
      <c r="B3831" s="1" t="n">
        <v>44036</v>
      </c>
      <c r="C3831" s="1" t="n">
        <v>45586</v>
      </c>
      <c r="D3831" t="inlineStr">
        <is>
          <t>VÄSTRA GÖTALANDS LÄN</t>
        </is>
      </c>
      <c r="E3831" t="inlineStr">
        <is>
          <t>SKÖVDE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34862-2020</t>
        </is>
      </c>
      <c r="B3832" s="1" t="n">
        <v>44036</v>
      </c>
      <c r="C3832" s="1" t="n">
        <v>45586</v>
      </c>
      <c r="D3832" t="inlineStr">
        <is>
          <t>VÄSTRA GÖTALANDS LÄN</t>
        </is>
      </c>
      <c r="E3832" t="inlineStr">
        <is>
          <t>VÅRGÅRDA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34905-2020</t>
        </is>
      </c>
      <c r="B3833" s="1" t="n">
        <v>44036</v>
      </c>
      <c r="C3833" s="1" t="n">
        <v>45586</v>
      </c>
      <c r="D3833" t="inlineStr">
        <is>
          <t>VÄSTRA GÖTALANDS LÄN</t>
        </is>
      </c>
      <c r="E3833" t="inlineStr">
        <is>
          <t>SKÖVDE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34938-2020</t>
        </is>
      </c>
      <c r="B3834" s="1" t="n">
        <v>44037</v>
      </c>
      <c r="C3834" s="1" t="n">
        <v>45586</v>
      </c>
      <c r="D3834" t="inlineStr">
        <is>
          <t>VÄSTRA GÖTALANDS LÄN</t>
        </is>
      </c>
      <c r="E3834" t="inlineStr">
        <is>
          <t>TIBRO</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34937-2020</t>
        </is>
      </c>
      <c r="B3835" s="1" t="n">
        <v>44037</v>
      </c>
      <c r="C3835" s="1" t="n">
        <v>45586</v>
      </c>
      <c r="D3835" t="inlineStr">
        <is>
          <t>VÄSTRA GÖTALANDS LÄN</t>
        </is>
      </c>
      <c r="E3835" t="inlineStr">
        <is>
          <t>TIBRO</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35101-2020</t>
        </is>
      </c>
      <c r="B3836" s="1" t="n">
        <v>44040</v>
      </c>
      <c r="C3836" s="1" t="n">
        <v>45586</v>
      </c>
      <c r="D3836" t="inlineStr">
        <is>
          <t>VÄSTRA GÖTALANDS LÄN</t>
        </is>
      </c>
      <c r="E3836" t="inlineStr">
        <is>
          <t>MELLERUD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35108-2020</t>
        </is>
      </c>
      <c r="B3837" s="1" t="n">
        <v>44040</v>
      </c>
      <c r="C3837" s="1" t="n">
        <v>45586</v>
      </c>
      <c r="D3837" t="inlineStr">
        <is>
          <t>VÄSTRA GÖTALANDS LÄN</t>
        </is>
      </c>
      <c r="E3837" t="inlineStr">
        <is>
          <t>MARIESTAD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35115-2020</t>
        </is>
      </c>
      <c r="B3838" s="1" t="n">
        <v>44040</v>
      </c>
      <c r="C3838" s="1" t="n">
        <v>45586</v>
      </c>
      <c r="D3838" t="inlineStr">
        <is>
          <t>VÄSTRA GÖTALANDS LÄN</t>
        </is>
      </c>
      <c r="E3838" t="inlineStr">
        <is>
          <t>ULRICEHAMN</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35171-2020</t>
        </is>
      </c>
      <c r="B3839" s="1" t="n">
        <v>44040</v>
      </c>
      <c r="C3839" s="1" t="n">
        <v>45586</v>
      </c>
      <c r="D3839" t="inlineStr">
        <is>
          <t>VÄSTRA GÖTALANDS LÄN</t>
        </is>
      </c>
      <c r="E3839" t="inlineStr">
        <is>
          <t>SKÖVDE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35099-2020</t>
        </is>
      </c>
      <c r="B3840" s="1" t="n">
        <v>44040</v>
      </c>
      <c r="C3840" s="1" t="n">
        <v>45586</v>
      </c>
      <c r="D3840" t="inlineStr">
        <is>
          <t>VÄSTRA GÖTALANDS LÄN</t>
        </is>
      </c>
      <c r="E3840" t="inlineStr">
        <is>
          <t>BENGTSFORS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35130-2020</t>
        </is>
      </c>
      <c r="B3841" s="1" t="n">
        <v>44040</v>
      </c>
      <c r="C3841" s="1" t="n">
        <v>45586</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35313-2020</t>
        </is>
      </c>
      <c r="B3842" s="1" t="n">
        <v>44041</v>
      </c>
      <c r="C3842" s="1" t="n">
        <v>45586</v>
      </c>
      <c r="D3842" t="inlineStr">
        <is>
          <t>VÄSTRA GÖTALANDS LÄN</t>
        </is>
      </c>
      <c r="E3842" t="inlineStr">
        <is>
          <t>BENGTSFORS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35262-2020</t>
        </is>
      </c>
      <c r="B3843" s="1" t="n">
        <v>44041</v>
      </c>
      <c r="C3843" s="1" t="n">
        <v>45586</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35351-2020</t>
        </is>
      </c>
      <c r="B3844" s="1" t="n">
        <v>44041</v>
      </c>
      <c r="C3844" s="1" t="n">
        <v>45586</v>
      </c>
      <c r="D3844" t="inlineStr">
        <is>
          <t>VÄSTRA GÖTALANDS LÄN</t>
        </is>
      </c>
      <c r="E3844" t="inlineStr">
        <is>
          <t>LIDKÖPING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35449-2020</t>
        </is>
      </c>
      <c r="B3845" s="1" t="n">
        <v>44042</v>
      </c>
      <c r="C3845" s="1" t="n">
        <v>45586</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35446-2020</t>
        </is>
      </c>
      <c r="B3846" s="1" t="n">
        <v>44042</v>
      </c>
      <c r="C3846" s="1" t="n">
        <v>45586</v>
      </c>
      <c r="D3846" t="inlineStr">
        <is>
          <t>VÄSTRA GÖTALANDS LÄN</t>
        </is>
      </c>
      <c r="E3846" t="inlineStr">
        <is>
          <t>BORÅS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35430-2020</t>
        </is>
      </c>
      <c r="B3847" s="1" t="n">
        <v>44042</v>
      </c>
      <c r="C3847" s="1" t="n">
        <v>45586</v>
      </c>
      <c r="D3847" t="inlineStr">
        <is>
          <t>VÄSTRA GÖTALANDS LÄN</t>
        </is>
      </c>
      <c r="E3847" t="inlineStr">
        <is>
          <t>TIBRO</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35403-2020</t>
        </is>
      </c>
      <c r="B3848" s="1" t="n">
        <v>44042</v>
      </c>
      <c r="C3848" s="1" t="n">
        <v>45586</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35499-2020</t>
        </is>
      </c>
      <c r="B3849" s="1" t="n">
        <v>44043</v>
      </c>
      <c r="C3849" s="1" t="n">
        <v>45586</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35508-2020</t>
        </is>
      </c>
      <c r="B3850" s="1" t="n">
        <v>44043</v>
      </c>
      <c r="C3850" s="1" t="n">
        <v>45586</v>
      </c>
      <c r="D3850" t="inlineStr">
        <is>
          <t>VÄSTRA GÖTALANDS LÄN</t>
        </is>
      </c>
      <c r="E3850" t="inlineStr">
        <is>
          <t>GÖTENE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35779-2020</t>
        </is>
      </c>
      <c r="B3851" s="1" t="n">
        <v>44046</v>
      </c>
      <c r="C3851" s="1" t="n">
        <v>45586</v>
      </c>
      <c r="D3851" t="inlineStr">
        <is>
          <t>VÄSTRA GÖTALANDS LÄN</t>
        </is>
      </c>
      <c r="E3851" t="inlineStr">
        <is>
          <t>TANUM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35662-2020</t>
        </is>
      </c>
      <c r="B3852" s="1" t="n">
        <v>44046</v>
      </c>
      <c r="C3852" s="1" t="n">
        <v>45586</v>
      </c>
      <c r="D3852" t="inlineStr">
        <is>
          <t>VÄSTRA GÖTALANDS LÄN</t>
        </is>
      </c>
      <c r="E3852" t="inlineStr">
        <is>
          <t>TROLLHÄTTAN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35724-2020</t>
        </is>
      </c>
      <c r="B3853" s="1" t="n">
        <v>44046</v>
      </c>
      <c r="C3853" s="1" t="n">
        <v>45586</v>
      </c>
      <c r="D3853" t="inlineStr">
        <is>
          <t>VÄSTRA GÖTALANDS LÄN</t>
        </is>
      </c>
      <c r="E3853" t="inlineStr">
        <is>
          <t>FÄRGELANDA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35767-2020</t>
        </is>
      </c>
      <c r="B3854" s="1" t="n">
        <v>44046</v>
      </c>
      <c r="C3854" s="1" t="n">
        <v>45586</v>
      </c>
      <c r="D3854" t="inlineStr">
        <is>
          <t>VÄSTRA GÖTALANDS LÄN</t>
        </is>
      </c>
      <c r="E3854" t="inlineStr">
        <is>
          <t>FÄRGELANDA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35631-2020</t>
        </is>
      </c>
      <c r="B3855" s="1" t="n">
        <v>44046</v>
      </c>
      <c r="C3855" s="1" t="n">
        <v>45586</v>
      </c>
      <c r="D3855" t="inlineStr">
        <is>
          <t>VÄSTRA GÖTALANDS LÄN</t>
        </is>
      </c>
      <c r="E3855" t="inlineStr">
        <is>
          <t>UDDEVALLA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35652-2020</t>
        </is>
      </c>
      <c r="B3856" s="1" t="n">
        <v>44046</v>
      </c>
      <c r="C3856" s="1" t="n">
        <v>45586</v>
      </c>
      <c r="D3856" t="inlineStr">
        <is>
          <t>VÄSTRA GÖTALANDS LÄN</t>
        </is>
      </c>
      <c r="E3856" t="inlineStr">
        <is>
          <t>ULRICEHAMN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35756-2020</t>
        </is>
      </c>
      <c r="B3857" s="1" t="n">
        <v>44046</v>
      </c>
      <c r="C3857" s="1" t="n">
        <v>45586</v>
      </c>
      <c r="D3857" t="inlineStr">
        <is>
          <t>VÄSTRA GÖTALANDS LÄN</t>
        </is>
      </c>
      <c r="E3857" t="inlineStr">
        <is>
          <t>LILLA EDET</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35772-2020</t>
        </is>
      </c>
      <c r="B3858" s="1" t="n">
        <v>44046</v>
      </c>
      <c r="C3858" s="1" t="n">
        <v>45586</v>
      </c>
      <c r="D3858" t="inlineStr">
        <is>
          <t>VÄSTRA GÖTALANDS LÄN</t>
        </is>
      </c>
      <c r="E3858" t="inlineStr">
        <is>
          <t>GRÄSTORP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35750-2020</t>
        </is>
      </c>
      <c r="B3859" s="1" t="n">
        <v>44046</v>
      </c>
      <c r="C3859" s="1" t="n">
        <v>45586</v>
      </c>
      <c r="D3859" t="inlineStr">
        <is>
          <t>VÄSTRA GÖTALANDS LÄN</t>
        </is>
      </c>
      <c r="E3859" t="inlineStr">
        <is>
          <t>MUNKEDAL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35907-2020</t>
        </is>
      </c>
      <c r="B3860" s="1" t="n">
        <v>44047</v>
      </c>
      <c r="C3860" s="1" t="n">
        <v>45586</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35885-2020</t>
        </is>
      </c>
      <c r="B3861" s="1" t="n">
        <v>44047</v>
      </c>
      <c r="C3861" s="1" t="n">
        <v>45586</v>
      </c>
      <c r="D3861" t="inlineStr">
        <is>
          <t>VÄSTRA GÖTALANDS LÄN</t>
        </is>
      </c>
      <c r="E3861" t="inlineStr">
        <is>
          <t>DALS-ED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35896-2020</t>
        </is>
      </c>
      <c r="B3862" s="1" t="n">
        <v>44047</v>
      </c>
      <c r="C3862" s="1" t="n">
        <v>45586</v>
      </c>
      <c r="D3862" t="inlineStr">
        <is>
          <t>VÄSTRA GÖTALANDS LÄN</t>
        </is>
      </c>
      <c r="E3862" t="inlineStr">
        <is>
          <t>SKARA</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35897-2020</t>
        </is>
      </c>
      <c r="B3863" s="1" t="n">
        <v>44047</v>
      </c>
      <c r="C3863" s="1" t="n">
        <v>45586</v>
      </c>
      <c r="D3863" t="inlineStr">
        <is>
          <t>VÄSTRA GÖTALANDS LÄN</t>
        </is>
      </c>
      <c r="E3863" t="inlineStr">
        <is>
          <t>SKARA</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35953-2020</t>
        </is>
      </c>
      <c r="B3864" s="1" t="n">
        <v>44047</v>
      </c>
      <c r="C3864" s="1" t="n">
        <v>45586</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35969-2020</t>
        </is>
      </c>
      <c r="B3865" s="1" t="n">
        <v>44047</v>
      </c>
      <c r="C3865" s="1" t="n">
        <v>45586</v>
      </c>
      <c r="D3865" t="inlineStr">
        <is>
          <t>VÄSTRA GÖTALANDS LÄN</t>
        </is>
      </c>
      <c r="E3865" t="inlineStr">
        <is>
          <t>TÖREBODA</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36203-2020</t>
        </is>
      </c>
      <c r="B3866" s="1" t="n">
        <v>44048</v>
      </c>
      <c r="C3866" s="1" t="n">
        <v>45586</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36140-2020</t>
        </is>
      </c>
      <c r="B3867" s="1" t="n">
        <v>44048</v>
      </c>
      <c r="C3867" s="1" t="n">
        <v>45586</v>
      </c>
      <c r="D3867" t="inlineStr">
        <is>
          <t>VÄSTRA GÖTALANDS LÄN</t>
        </is>
      </c>
      <c r="E3867" t="inlineStr">
        <is>
          <t>GÖTENE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36103-2020</t>
        </is>
      </c>
      <c r="B3868" s="1" t="n">
        <v>44048</v>
      </c>
      <c r="C3868" s="1" t="n">
        <v>45586</v>
      </c>
      <c r="D3868" t="inlineStr">
        <is>
          <t>VÄSTRA GÖTALANDS LÄN</t>
        </is>
      </c>
      <c r="E3868" t="inlineStr">
        <is>
          <t>SKARA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36189-2020</t>
        </is>
      </c>
      <c r="B3869" s="1" t="n">
        <v>44048</v>
      </c>
      <c r="C3869" s="1" t="n">
        <v>45586</v>
      </c>
      <c r="D3869" t="inlineStr">
        <is>
          <t>VÄSTRA GÖTALANDS LÄN</t>
        </is>
      </c>
      <c r="E3869" t="inlineStr">
        <is>
          <t>ULRICEHAMN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36133-2020</t>
        </is>
      </c>
      <c r="B3870" s="1" t="n">
        <v>44048</v>
      </c>
      <c r="C3870" s="1" t="n">
        <v>45586</v>
      </c>
      <c r="D3870" t="inlineStr">
        <is>
          <t>VÄSTRA GÖTALANDS LÄN</t>
        </is>
      </c>
      <c r="E3870" t="inlineStr">
        <is>
          <t>ULRICEHAMN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36107-2020</t>
        </is>
      </c>
      <c r="B3871" s="1" t="n">
        <v>44048</v>
      </c>
      <c r="C3871" s="1" t="n">
        <v>45586</v>
      </c>
      <c r="D3871" t="inlineStr">
        <is>
          <t>VÄSTRA GÖTALANDS LÄN</t>
        </is>
      </c>
      <c r="E3871" t="inlineStr">
        <is>
          <t>VÅRGÅRDA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36130-2020</t>
        </is>
      </c>
      <c r="B3872" s="1" t="n">
        <v>44048</v>
      </c>
      <c r="C3872" s="1" t="n">
        <v>45586</v>
      </c>
      <c r="D3872" t="inlineStr">
        <is>
          <t>VÄSTRA GÖTALANDS LÄN</t>
        </is>
      </c>
      <c r="E3872" t="inlineStr">
        <is>
          <t>TÖREBODA</t>
        </is>
      </c>
      <c r="F3872" t="inlineStr">
        <is>
          <t>Övriga statliga verk och myndigheter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36190-2020</t>
        </is>
      </c>
      <c r="B3873" s="1" t="n">
        <v>44048</v>
      </c>
      <c r="C3873" s="1" t="n">
        <v>45586</v>
      </c>
      <c r="D3873" t="inlineStr">
        <is>
          <t>VÄSTRA GÖTALANDS LÄN</t>
        </is>
      </c>
      <c r="E3873" t="inlineStr">
        <is>
          <t>ULRICEHAMN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36295-2020</t>
        </is>
      </c>
      <c r="B3874" s="1" t="n">
        <v>44049</v>
      </c>
      <c r="C3874" s="1" t="n">
        <v>45586</v>
      </c>
      <c r="D3874" t="inlineStr">
        <is>
          <t>VÄSTRA GÖTALANDS LÄN</t>
        </is>
      </c>
      <c r="E3874" t="inlineStr">
        <is>
          <t>ÅMÅL</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36305-2020</t>
        </is>
      </c>
      <c r="B3875" s="1" t="n">
        <v>44049</v>
      </c>
      <c r="C3875" s="1" t="n">
        <v>45586</v>
      </c>
      <c r="D3875" t="inlineStr">
        <is>
          <t>VÄSTRA GÖTALANDS LÄN</t>
        </is>
      </c>
      <c r="E3875" t="inlineStr">
        <is>
          <t>TANUM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36266-2020</t>
        </is>
      </c>
      <c r="B3876" s="1" t="n">
        <v>44049</v>
      </c>
      <c r="C3876" s="1" t="n">
        <v>45586</v>
      </c>
      <c r="D3876" t="inlineStr">
        <is>
          <t>VÄSTRA GÖTALANDS LÄN</t>
        </is>
      </c>
      <c r="E3876" t="inlineStr">
        <is>
          <t>DALS-ED</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36283-2020</t>
        </is>
      </c>
      <c r="B3877" s="1" t="n">
        <v>44049</v>
      </c>
      <c r="C3877" s="1" t="n">
        <v>45586</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36299-2020</t>
        </is>
      </c>
      <c r="B3878" s="1" t="n">
        <v>44049</v>
      </c>
      <c r="C3878" s="1" t="n">
        <v>45586</v>
      </c>
      <c r="D3878" t="inlineStr">
        <is>
          <t>VÄSTRA GÖTALANDS LÄN</t>
        </is>
      </c>
      <c r="E3878" t="inlineStr">
        <is>
          <t>GÖTENE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36260-2020</t>
        </is>
      </c>
      <c r="B3879" s="1" t="n">
        <v>44049</v>
      </c>
      <c r="C3879" s="1" t="n">
        <v>45586</v>
      </c>
      <c r="D3879" t="inlineStr">
        <is>
          <t>VÄSTRA GÖTALANDS LÄN</t>
        </is>
      </c>
      <c r="E3879" t="inlineStr">
        <is>
          <t>DALS-ED</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36395-2020</t>
        </is>
      </c>
      <c r="B3880" s="1" t="n">
        <v>44049</v>
      </c>
      <c r="C3880" s="1" t="n">
        <v>45586</v>
      </c>
      <c r="D3880" t="inlineStr">
        <is>
          <t>VÄSTRA GÖTALANDS LÄN</t>
        </is>
      </c>
      <c r="E3880" t="inlineStr">
        <is>
          <t>LILLA EDET</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36381-2020</t>
        </is>
      </c>
      <c r="B3881" s="1" t="n">
        <v>44049</v>
      </c>
      <c r="C3881" s="1" t="n">
        <v>45586</v>
      </c>
      <c r="D3881" t="inlineStr">
        <is>
          <t>VÄSTRA GÖTALANDS LÄN</t>
        </is>
      </c>
      <c r="E3881" t="inlineStr">
        <is>
          <t>SKÖVDE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36325-2020</t>
        </is>
      </c>
      <c r="B3882" s="1" t="n">
        <v>44049</v>
      </c>
      <c r="C3882" s="1" t="n">
        <v>45586</v>
      </c>
      <c r="D3882" t="inlineStr">
        <is>
          <t>VÄSTRA GÖTALANDS LÄN</t>
        </is>
      </c>
      <c r="E3882" t="inlineStr">
        <is>
          <t>LIDKÖPING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36519-2020</t>
        </is>
      </c>
      <c r="B3883" s="1" t="n">
        <v>44050</v>
      </c>
      <c r="C3883" s="1" t="n">
        <v>45586</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36583-2020</t>
        </is>
      </c>
      <c r="B3884" s="1" t="n">
        <v>44050</v>
      </c>
      <c r="C3884" s="1" t="n">
        <v>45586</v>
      </c>
      <c r="D3884" t="inlineStr">
        <is>
          <t>VÄSTRA GÖTALANDS LÄN</t>
        </is>
      </c>
      <c r="E3884" t="inlineStr">
        <is>
          <t>LILLA EDET</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36481-2020</t>
        </is>
      </c>
      <c r="B3885" s="1" t="n">
        <v>44050</v>
      </c>
      <c r="C3885" s="1" t="n">
        <v>45586</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36470-2020</t>
        </is>
      </c>
      <c r="B3886" s="1" t="n">
        <v>44050</v>
      </c>
      <c r="C3886" s="1" t="n">
        <v>45586</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36625-2020</t>
        </is>
      </c>
      <c r="B3887" s="1" t="n">
        <v>44050</v>
      </c>
      <c r="C3887" s="1" t="n">
        <v>45586</v>
      </c>
      <c r="D3887" t="inlineStr">
        <is>
          <t>VÄSTRA GÖTALANDS LÄN</t>
        </is>
      </c>
      <c r="E3887" t="inlineStr">
        <is>
          <t>SKÖVDE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36681-2020</t>
        </is>
      </c>
      <c r="B3888" s="1" t="n">
        <v>44051</v>
      </c>
      <c r="C3888" s="1" t="n">
        <v>45586</v>
      </c>
      <c r="D3888" t="inlineStr">
        <is>
          <t>VÄSTRA GÖTALANDS LÄN</t>
        </is>
      </c>
      <c r="E3888" t="inlineStr">
        <is>
          <t>VARA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36675-2020</t>
        </is>
      </c>
      <c r="B3889" s="1" t="n">
        <v>44051</v>
      </c>
      <c r="C3889" s="1" t="n">
        <v>45586</v>
      </c>
      <c r="D3889" t="inlineStr">
        <is>
          <t>VÄSTRA GÖTALANDS LÄN</t>
        </is>
      </c>
      <c r="E3889" t="inlineStr">
        <is>
          <t>SKARA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36707-2020</t>
        </is>
      </c>
      <c r="B3890" s="1" t="n">
        <v>44051</v>
      </c>
      <c r="C3890" s="1" t="n">
        <v>45586</v>
      </c>
      <c r="D3890" t="inlineStr">
        <is>
          <t>VÄSTRA GÖTALANDS LÄN</t>
        </is>
      </c>
      <c r="E3890" t="inlineStr">
        <is>
          <t>SKÖVDE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36714-2020</t>
        </is>
      </c>
      <c r="B3891" s="1" t="n">
        <v>44052</v>
      </c>
      <c r="C3891" s="1" t="n">
        <v>45586</v>
      </c>
      <c r="D3891" t="inlineStr">
        <is>
          <t>VÄSTRA GÖTALANDS LÄN</t>
        </is>
      </c>
      <c r="E3891" t="inlineStr">
        <is>
          <t>MARIESTAD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36761-2020</t>
        </is>
      </c>
      <c r="B3892" s="1" t="n">
        <v>44053</v>
      </c>
      <c r="C3892" s="1" t="n">
        <v>45586</v>
      </c>
      <c r="D3892" t="inlineStr">
        <is>
          <t>VÄSTRA GÖTALANDS LÄN</t>
        </is>
      </c>
      <c r="E3892" t="inlineStr">
        <is>
          <t>ALINGSÅS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36831-2020</t>
        </is>
      </c>
      <c r="B3893" s="1" t="n">
        <v>44053</v>
      </c>
      <c r="C3893" s="1" t="n">
        <v>45586</v>
      </c>
      <c r="D3893" t="inlineStr">
        <is>
          <t>VÄSTRA GÖTALANDS LÄN</t>
        </is>
      </c>
      <c r="E3893" t="inlineStr">
        <is>
          <t>ESSUNGA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36764-2020</t>
        </is>
      </c>
      <c r="B3894" s="1" t="n">
        <v>44053</v>
      </c>
      <c r="C3894" s="1" t="n">
        <v>45586</v>
      </c>
      <c r="D3894" t="inlineStr">
        <is>
          <t>VÄSTRA GÖTALANDS LÄN</t>
        </is>
      </c>
      <c r="E3894" t="inlineStr">
        <is>
          <t>BENGTSFORS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36804-2020</t>
        </is>
      </c>
      <c r="B3895" s="1" t="n">
        <v>44053</v>
      </c>
      <c r="C3895" s="1" t="n">
        <v>45586</v>
      </c>
      <c r="D3895" t="inlineStr">
        <is>
          <t>VÄSTRA GÖTALANDS LÄN</t>
        </is>
      </c>
      <c r="E3895" t="inlineStr">
        <is>
          <t>SVENLJUNGA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36718-2020</t>
        </is>
      </c>
      <c r="B3896" s="1" t="n">
        <v>44053</v>
      </c>
      <c r="C3896" s="1" t="n">
        <v>45586</v>
      </c>
      <c r="D3896" t="inlineStr">
        <is>
          <t>VÄSTRA GÖTALANDS LÄN</t>
        </is>
      </c>
      <c r="E3896" t="inlineStr">
        <is>
          <t>SKÖVDE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36950-2020</t>
        </is>
      </c>
      <c r="B3897" s="1" t="n">
        <v>44053</v>
      </c>
      <c r="C3897" s="1" t="n">
        <v>45586</v>
      </c>
      <c r="D3897" t="inlineStr">
        <is>
          <t>VÄSTRA GÖTALANDS LÄN</t>
        </is>
      </c>
      <c r="E3897" t="inlineStr">
        <is>
          <t>BOLLEBYGD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36952-2020</t>
        </is>
      </c>
      <c r="B3898" s="1" t="n">
        <v>44053</v>
      </c>
      <c r="C3898" s="1" t="n">
        <v>45586</v>
      </c>
      <c r="D3898" t="inlineStr">
        <is>
          <t>VÄSTRA GÖTALANDS LÄN</t>
        </is>
      </c>
      <c r="E3898" t="inlineStr">
        <is>
          <t>BENGTSFORS</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36949-2020</t>
        </is>
      </c>
      <c r="B3899" s="1" t="n">
        <v>44053</v>
      </c>
      <c r="C3899" s="1" t="n">
        <v>45586</v>
      </c>
      <c r="D3899" t="inlineStr">
        <is>
          <t>VÄSTRA GÖTALANDS LÄN</t>
        </is>
      </c>
      <c r="E3899" t="inlineStr">
        <is>
          <t>TRANEMO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36716-2020</t>
        </is>
      </c>
      <c r="B3900" s="1" t="n">
        <v>44053</v>
      </c>
      <c r="C3900" s="1" t="n">
        <v>45586</v>
      </c>
      <c r="D3900" t="inlineStr">
        <is>
          <t>VÄSTRA GÖTALANDS LÄN</t>
        </is>
      </c>
      <c r="E3900" t="inlineStr">
        <is>
          <t>SKÖVDE</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36902-2020</t>
        </is>
      </c>
      <c r="B3901" s="1" t="n">
        <v>44053</v>
      </c>
      <c r="C3901" s="1" t="n">
        <v>45586</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37112-2020</t>
        </is>
      </c>
      <c r="B3902" s="1" t="n">
        <v>44054</v>
      </c>
      <c r="C3902" s="1" t="n">
        <v>45586</v>
      </c>
      <c r="D3902" t="inlineStr">
        <is>
          <t>VÄSTRA GÖTALANDS LÄN</t>
        </is>
      </c>
      <c r="E3902" t="inlineStr">
        <is>
          <t>ULRICEHAMN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37118-2020</t>
        </is>
      </c>
      <c r="B3903" s="1" t="n">
        <v>44054</v>
      </c>
      <c r="C3903" s="1" t="n">
        <v>45586</v>
      </c>
      <c r="D3903" t="inlineStr">
        <is>
          <t>VÄSTRA GÖTALANDS LÄN</t>
        </is>
      </c>
      <c r="E3903" t="inlineStr">
        <is>
          <t>ULRICEHAMN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37171-2020</t>
        </is>
      </c>
      <c r="B3904" s="1" t="n">
        <v>44054</v>
      </c>
      <c r="C3904" s="1" t="n">
        <v>45586</v>
      </c>
      <c r="D3904" t="inlineStr">
        <is>
          <t>VÄSTRA GÖTALANDS LÄN</t>
        </is>
      </c>
      <c r="E3904" t="inlineStr">
        <is>
          <t>ULRICEHAMN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37095-2020</t>
        </is>
      </c>
      <c r="B3905" s="1" t="n">
        <v>44054</v>
      </c>
      <c r="C3905" s="1" t="n">
        <v>45586</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37053-2020</t>
        </is>
      </c>
      <c r="B3906" s="1" t="n">
        <v>44054</v>
      </c>
      <c r="C3906" s="1" t="n">
        <v>45586</v>
      </c>
      <c r="D3906" t="inlineStr">
        <is>
          <t>VÄSTRA GÖTALANDS LÄN</t>
        </is>
      </c>
      <c r="E3906" t="inlineStr">
        <is>
          <t>ULRICEHAMN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37279-2020</t>
        </is>
      </c>
      <c r="B3907" s="1" t="n">
        <v>44054</v>
      </c>
      <c r="C3907" s="1" t="n">
        <v>45586</v>
      </c>
      <c r="D3907" t="inlineStr">
        <is>
          <t>VÄSTRA GÖTALANDS LÄN</t>
        </is>
      </c>
      <c r="E3907" t="inlineStr">
        <is>
          <t>BENGTSFORS</t>
        </is>
      </c>
      <c r="F3907" t="inlineStr">
        <is>
          <t>Kyrkan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37197-2020</t>
        </is>
      </c>
      <c r="B3908" s="1" t="n">
        <v>44054</v>
      </c>
      <c r="C3908" s="1" t="n">
        <v>45586</v>
      </c>
      <c r="D3908" t="inlineStr">
        <is>
          <t>VÄSTRA GÖTALANDS LÄN</t>
        </is>
      </c>
      <c r="E3908" t="inlineStr">
        <is>
          <t>VARA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37315-2020</t>
        </is>
      </c>
      <c r="B3909" s="1" t="n">
        <v>44055</v>
      </c>
      <c r="C3909" s="1" t="n">
        <v>45586</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37418-2020</t>
        </is>
      </c>
      <c r="B3910" s="1" t="n">
        <v>44055</v>
      </c>
      <c r="C3910" s="1" t="n">
        <v>45586</v>
      </c>
      <c r="D3910" t="inlineStr">
        <is>
          <t>VÄSTRA GÖTALANDS LÄN</t>
        </is>
      </c>
      <c r="E3910" t="inlineStr">
        <is>
          <t>BENGTSFORS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37250-2020</t>
        </is>
      </c>
      <c r="B3911" s="1" t="n">
        <v>44055</v>
      </c>
      <c r="C3911" s="1" t="n">
        <v>45586</v>
      </c>
      <c r="D3911" t="inlineStr">
        <is>
          <t>VÄSTRA GÖTALANDS LÄN</t>
        </is>
      </c>
      <c r="E3911" t="inlineStr">
        <is>
          <t>SKÖVDE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37347-2020</t>
        </is>
      </c>
      <c r="B3912" s="1" t="n">
        <v>44055</v>
      </c>
      <c r="C3912" s="1" t="n">
        <v>45586</v>
      </c>
      <c r="D3912" t="inlineStr">
        <is>
          <t>VÄSTRA GÖTALANDS LÄN</t>
        </is>
      </c>
      <c r="E3912" t="inlineStr">
        <is>
          <t>ÅMÅL</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37254-2020</t>
        </is>
      </c>
      <c r="B3913" s="1" t="n">
        <v>44055</v>
      </c>
      <c r="C3913" s="1" t="n">
        <v>45586</v>
      </c>
      <c r="D3913" t="inlineStr">
        <is>
          <t>VÄSTRA GÖTALANDS LÄN</t>
        </is>
      </c>
      <c r="E3913" t="inlineStr">
        <is>
          <t>HJO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37388-2020</t>
        </is>
      </c>
      <c r="B3914" s="1" t="n">
        <v>44055</v>
      </c>
      <c r="C3914" s="1" t="n">
        <v>45586</v>
      </c>
      <c r="D3914" t="inlineStr">
        <is>
          <t>VÄSTRA GÖTALANDS LÄN</t>
        </is>
      </c>
      <c r="E3914" t="inlineStr">
        <is>
          <t>SKÖVDE</t>
        </is>
      </c>
      <c r="F3914" t="inlineStr">
        <is>
          <t>Kommuner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37386-2020</t>
        </is>
      </c>
      <c r="B3915" s="1" t="n">
        <v>44055</v>
      </c>
      <c r="C3915" s="1" t="n">
        <v>45586</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37431-2020</t>
        </is>
      </c>
      <c r="B3916" s="1" t="n">
        <v>44055</v>
      </c>
      <c r="C3916" s="1" t="n">
        <v>45586</v>
      </c>
      <c r="D3916" t="inlineStr">
        <is>
          <t>VÄSTRA GÖTALANDS LÄN</t>
        </is>
      </c>
      <c r="E3916" t="inlineStr">
        <is>
          <t>BENGTSFORS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37439-2020</t>
        </is>
      </c>
      <c r="B3917" s="1" t="n">
        <v>44055</v>
      </c>
      <c r="C3917" s="1" t="n">
        <v>45586</v>
      </c>
      <c r="D3917" t="inlineStr">
        <is>
          <t>VÄSTRA GÖTALANDS LÄN</t>
        </is>
      </c>
      <c r="E3917" t="inlineStr">
        <is>
          <t>SKARA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37479-2020</t>
        </is>
      </c>
      <c r="B3918" s="1" t="n">
        <v>44055</v>
      </c>
      <c r="C3918" s="1" t="n">
        <v>45586</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37550-2020</t>
        </is>
      </c>
      <c r="B3919" s="1" t="n">
        <v>44056</v>
      </c>
      <c r="C3919" s="1" t="n">
        <v>45586</v>
      </c>
      <c r="D3919" t="inlineStr">
        <is>
          <t>VÄSTRA GÖTALANDS LÄN</t>
        </is>
      </c>
      <c r="E3919" t="inlineStr">
        <is>
          <t>MARIESTAD</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37628-2020</t>
        </is>
      </c>
      <c r="B3920" s="1" t="n">
        <v>44056</v>
      </c>
      <c r="C3920" s="1" t="n">
        <v>45586</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37575-2020</t>
        </is>
      </c>
      <c r="B3921" s="1" t="n">
        <v>44056</v>
      </c>
      <c r="C3921" s="1" t="n">
        <v>45586</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37907-2020</t>
        </is>
      </c>
      <c r="B3922" s="1" t="n">
        <v>44057</v>
      </c>
      <c r="C3922" s="1" t="n">
        <v>45586</v>
      </c>
      <c r="D3922" t="inlineStr">
        <is>
          <t>VÄSTRA GÖTALANDS LÄN</t>
        </is>
      </c>
      <c r="E3922" t="inlineStr">
        <is>
          <t>ESSUNGA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37941-2020</t>
        </is>
      </c>
      <c r="B3923" s="1" t="n">
        <v>44057</v>
      </c>
      <c r="C3923" s="1" t="n">
        <v>45586</v>
      </c>
      <c r="D3923" t="inlineStr">
        <is>
          <t>VÄSTRA GÖTALANDS LÄN</t>
        </is>
      </c>
      <c r="E3923" t="inlineStr">
        <is>
          <t>HERRLJUNGA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37913-2020</t>
        </is>
      </c>
      <c r="B3924" s="1" t="n">
        <v>44057</v>
      </c>
      <c r="C3924" s="1" t="n">
        <v>45586</v>
      </c>
      <c r="D3924" t="inlineStr">
        <is>
          <t>VÄSTRA GÖTALANDS LÄN</t>
        </is>
      </c>
      <c r="E3924" t="inlineStr">
        <is>
          <t>TROLLHÄTTAN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37940-2020</t>
        </is>
      </c>
      <c r="B3925" s="1" t="n">
        <v>44057</v>
      </c>
      <c r="C3925" s="1" t="n">
        <v>45586</v>
      </c>
      <c r="D3925" t="inlineStr">
        <is>
          <t>VÄSTRA GÖTALANDS LÄN</t>
        </is>
      </c>
      <c r="E3925" t="inlineStr">
        <is>
          <t>HERRLJUNGA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37942-2020</t>
        </is>
      </c>
      <c r="B3926" s="1" t="n">
        <v>44057</v>
      </c>
      <c r="C3926" s="1" t="n">
        <v>45586</v>
      </c>
      <c r="D3926" t="inlineStr">
        <is>
          <t>VÄSTRA GÖTALANDS LÄN</t>
        </is>
      </c>
      <c r="E3926" t="inlineStr">
        <is>
          <t>HERRLJUNGA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37987-2020</t>
        </is>
      </c>
      <c r="B3927" s="1" t="n">
        <v>44057</v>
      </c>
      <c r="C3927" s="1" t="n">
        <v>45586</v>
      </c>
      <c r="D3927" t="inlineStr">
        <is>
          <t>VÄSTRA GÖTALANDS LÄN</t>
        </is>
      </c>
      <c r="E3927" t="inlineStr">
        <is>
          <t>HÄRRYDA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38008-2020</t>
        </is>
      </c>
      <c r="B3928" s="1" t="n">
        <v>44057</v>
      </c>
      <c r="C3928" s="1" t="n">
        <v>45586</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37992-2020</t>
        </is>
      </c>
      <c r="B3929" s="1" t="n">
        <v>44057</v>
      </c>
      <c r="C3929" s="1" t="n">
        <v>45586</v>
      </c>
      <c r="D3929" t="inlineStr">
        <is>
          <t>VÄSTRA GÖTALANDS LÄN</t>
        </is>
      </c>
      <c r="E3929" t="inlineStr">
        <is>
          <t>BORÅS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38039-2020</t>
        </is>
      </c>
      <c r="B3930" s="1" t="n">
        <v>44057</v>
      </c>
      <c r="C3930" s="1" t="n">
        <v>45586</v>
      </c>
      <c r="D3930" t="inlineStr">
        <is>
          <t>VÄSTRA GÖTALANDS LÄN</t>
        </is>
      </c>
      <c r="E3930" t="inlineStr">
        <is>
          <t>SKÖVDE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38057-2020</t>
        </is>
      </c>
      <c r="B3931" s="1" t="n">
        <v>44057</v>
      </c>
      <c r="C3931" s="1" t="n">
        <v>45586</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37989-2020</t>
        </is>
      </c>
      <c r="B3932" s="1" t="n">
        <v>44057</v>
      </c>
      <c r="C3932" s="1" t="n">
        <v>45586</v>
      </c>
      <c r="D3932" t="inlineStr">
        <is>
          <t>VÄSTRA GÖTALANDS LÄN</t>
        </is>
      </c>
      <c r="E3932" t="inlineStr">
        <is>
          <t>HÄRRYDA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38003-2020</t>
        </is>
      </c>
      <c r="B3933" s="1" t="n">
        <v>44057</v>
      </c>
      <c r="C3933" s="1" t="n">
        <v>45586</v>
      </c>
      <c r="D3933" t="inlineStr">
        <is>
          <t>VÄSTRA GÖTALANDS LÄN</t>
        </is>
      </c>
      <c r="E3933" t="inlineStr">
        <is>
          <t>BORÅS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38036-2020</t>
        </is>
      </c>
      <c r="B3934" s="1" t="n">
        <v>44057</v>
      </c>
      <c r="C3934" s="1" t="n">
        <v>45586</v>
      </c>
      <c r="D3934" t="inlineStr">
        <is>
          <t>VÄSTRA GÖTALANDS LÄN</t>
        </is>
      </c>
      <c r="E3934" t="inlineStr">
        <is>
          <t>SKÖVDE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38043-2020</t>
        </is>
      </c>
      <c r="B3935" s="1" t="n">
        <v>44057</v>
      </c>
      <c r="C3935" s="1" t="n">
        <v>45586</v>
      </c>
      <c r="D3935" t="inlineStr">
        <is>
          <t>VÄSTRA GÖTALANDS LÄN</t>
        </is>
      </c>
      <c r="E3935" t="inlineStr">
        <is>
          <t>TIDAHOLM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38006-2020</t>
        </is>
      </c>
      <c r="B3936" s="1" t="n">
        <v>44057</v>
      </c>
      <c r="C3936" s="1" t="n">
        <v>45586</v>
      </c>
      <c r="D3936" t="inlineStr">
        <is>
          <t>VÄSTRA GÖTALANDS LÄN</t>
        </is>
      </c>
      <c r="E3936" t="inlineStr">
        <is>
          <t>BORÅS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38116-2020</t>
        </is>
      </c>
      <c r="B3937" s="1" t="n">
        <v>44058</v>
      </c>
      <c r="C3937" s="1" t="n">
        <v>45586</v>
      </c>
      <c r="D3937" t="inlineStr">
        <is>
          <t>VÄSTRA GÖTALANDS LÄN</t>
        </is>
      </c>
      <c r="E3937" t="inlineStr">
        <is>
          <t>ÅMÅL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38216-2020</t>
        </is>
      </c>
      <c r="B3938" s="1" t="n">
        <v>44060</v>
      </c>
      <c r="C3938" s="1" t="n">
        <v>45586</v>
      </c>
      <c r="D3938" t="inlineStr">
        <is>
          <t>VÄSTRA GÖTALANDS LÄN</t>
        </is>
      </c>
      <c r="E3938" t="inlineStr">
        <is>
          <t>UDDEVALLA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38220-2020</t>
        </is>
      </c>
      <c r="B3939" s="1" t="n">
        <v>44060</v>
      </c>
      <c r="C3939" s="1" t="n">
        <v>45586</v>
      </c>
      <c r="D3939" t="inlineStr">
        <is>
          <t>VÄSTRA GÖTALANDS LÄN</t>
        </is>
      </c>
      <c r="E3939" t="inlineStr">
        <is>
          <t>BORÅS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38229-2020</t>
        </is>
      </c>
      <c r="B3940" s="1" t="n">
        <v>44060</v>
      </c>
      <c r="C3940" s="1" t="n">
        <v>45586</v>
      </c>
      <c r="D3940" t="inlineStr">
        <is>
          <t>VÄSTRA GÖTALANDS LÄN</t>
        </is>
      </c>
      <c r="E3940" t="inlineStr">
        <is>
          <t>BORÅS</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38242-2020</t>
        </is>
      </c>
      <c r="B3941" s="1" t="n">
        <v>44060</v>
      </c>
      <c r="C3941" s="1" t="n">
        <v>45586</v>
      </c>
      <c r="D3941" t="inlineStr">
        <is>
          <t>VÄSTRA GÖTALANDS LÄN</t>
        </is>
      </c>
      <c r="E3941" t="inlineStr">
        <is>
          <t>BORÅS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38233-2020</t>
        </is>
      </c>
      <c r="B3942" s="1" t="n">
        <v>44060</v>
      </c>
      <c r="C3942" s="1" t="n">
        <v>45586</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38262-2020</t>
        </is>
      </c>
      <c r="B3943" s="1" t="n">
        <v>44060</v>
      </c>
      <c r="C3943" s="1" t="n">
        <v>45586</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38270-2020</t>
        </is>
      </c>
      <c r="B3944" s="1" t="n">
        <v>44060</v>
      </c>
      <c r="C3944" s="1" t="n">
        <v>45586</v>
      </c>
      <c r="D3944" t="inlineStr">
        <is>
          <t>VÄSTRA GÖTALANDS LÄN</t>
        </is>
      </c>
      <c r="E3944" t="inlineStr">
        <is>
          <t>BORÅS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38202-2020</t>
        </is>
      </c>
      <c r="B3945" s="1" t="n">
        <v>44060</v>
      </c>
      <c r="C3945" s="1" t="n">
        <v>45586</v>
      </c>
      <c r="D3945" t="inlineStr">
        <is>
          <t>VÄSTRA GÖTALANDS LÄN</t>
        </is>
      </c>
      <c r="E3945" t="inlineStr">
        <is>
          <t>BORÅS</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38213-2020</t>
        </is>
      </c>
      <c r="B3946" s="1" t="n">
        <v>44060</v>
      </c>
      <c r="C3946" s="1" t="n">
        <v>45586</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38271-2020</t>
        </is>
      </c>
      <c r="B3947" s="1" t="n">
        <v>44060</v>
      </c>
      <c r="C3947" s="1" t="n">
        <v>45586</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38205-2020</t>
        </is>
      </c>
      <c r="B3948" s="1" t="n">
        <v>44060</v>
      </c>
      <c r="C3948" s="1" t="n">
        <v>45586</v>
      </c>
      <c r="D3948" t="inlineStr">
        <is>
          <t>VÄSTRA GÖTALANDS LÄN</t>
        </is>
      </c>
      <c r="E3948" t="inlineStr">
        <is>
          <t>BORÅS</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38320-2020</t>
        </is>
      </c>
      <c r="B3949" s="1" t="n">
        <v>44060</v>
      </c>
      <c r="C3949" s="1" t="n">
        <v>45586</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38489-2020</t>
        </is>
      </c>
      <c r="B3950" s="1" t="n">
        <v>44061</v>
      </c>
      <c r="C3950" s="1" t="n">
        <v>45586</v>
      </c>
      <c r="D3950" t="inlineStr">
        <is>
          <t>VÄSTRA GÖTALANDS LÄN</t>
        </is>
      </c>
      <c r="E3950" t="inlineStr">
        <is>
          <t>ÅMÅL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38526-2020</t>
        </is>
      </c>
      <c r="B3951" s="1" t="n">
        <v>44061</v>
      </c>
      <c r="C3951" s="1" t="n">
        <v>45586</v>
      </c>
      <c r="D3951" t="inlineStr">
        <is>
          <t>VÄSTRA GÖTALANDS LÄN</t>
        </is>
      </c>
      <c r="E3951" t="inlineStr">
        <is>
          <t>MÖLNDAL</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38487-2020</t>
        </is>
      </c>
      <c r="B3952" s="1" t="n">
        <v>44061</v>
      </c>
      <c r="C3952" s="1" t="n">
        <v>45586</v>
      </c>
      <c r="D3952" t="inlineStr">
        <is>
          <t>VÄSTRA GÖTALANDS LÄN</t>
        </is>
      </c>
      <c r="E3952" t="inlineStr">
        <is>
          <t>ÅMÅL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38488-2020</t>
        </is>
      </c>
      <c r="B3953" s="1" t="n">
        <v>44061</v>
      </c>
      <c r="C3953" s="1" t="n">
        <v>45586</v>
      </c>
      <c r="D3953" t="inlineStr">
        <is>
          <t>VÄSTRA GÖTALANDS LÄN</t>
        </is>
      </c>
      <c r="E3953" t="inlineStr">
        <is>
          <t>ÅMÅL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38650-2020</t>
        </is>
      </c>
      <c r="B3954" s="1" t="n">
        <v>44061</v>
      </c>
      <c r="C3954" s="1" t="n">
        <v>45586</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38716-2020</t>
        </is>
      </c>
      <c r="B3955" s="1" t="n">
        <v>44061</v>
      </c>
      <c r="C3955" s="1" t="n">
        <v>45586</v>
      </c>
      <c r="D3955" t="inlineStr">
        <is>
          <t>VÄSTRA GÖTALANDS LÄN</t>
        </is>
      </c>
      <c r="E3955" t="inlineStr">
        <is>
          <t>BORÅS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38624-2020</t>
        </is>
      </c>
      <c r="B3956" s="1" t="n">
        <v>44061</v>
      </c>
      <c r="C3956" s="1" t="n">
        <v>45586</v>
      </c>
      <c r="D3956" t="inlineStr">
        <is>
          <t>VÄSTRA GÖTALANDS LÄN</t>
        </is>
      </c>
      <c r="E3956" t="inlineStr">
        <is>
          <t>SVENLJUNGA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38652-2020</t>
        </is>
      </c>
      <c r="B3957" s="1" t="n">
        <v>44061</v>
      </c>
      <c r="C3957" s="1" t="n">
        <v>45586</v>
      </c>
      <c r="D3957" t="inlineStr">
        <is>
          <t>VÄSTRA GÖTALANDS LÄN</t>
        </is>
      </c>
      <c r="E3957" t="inlineStr">
        <is>
          <t>LIDKÖPING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38702-2020</t>
        </is>
      </c>
      <c r="B3958" s="1" t="n">
        <v>44061</v>
      </c>
      <c r="C3958" s="1" t="n">
        <v>45586</v>
      </c>
      <c r="D3958" t="inlineStr">
        <is>
          <t>VÄSTRA GÖTALANDS LÄN</t>
        </is>
      </c>
      <c r="E3958" t="inlineStr">
        <is>
          <t>VÅRGÅRDA</t>
        </is>
      </c>
      <c r="F3958" t="inlineStr">
        <is>
          <t>Allmännings- och besparingsskogar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38949-2020</t>
        </is>
      </c>
      <c r="B3959" s="1" t="n">
        <v>44062</v>
      </c>
      <c r="C3959" s="1" t="n">
        <v>45586</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38862-2020</t>
        </is>
      </c>
      <c r="B3960" s="1" t="n">
        <v>44062</v>
      </c>
      <c r="C3960" s="1" t="n">
        <v>45586</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38893-2020</t>
        </is>
      </c>
      <c r="B3961" s="1" t="n">
        <v>44062</v>
      </c>
      <c r="C3961" s="1" t="n">
        <v>45586</v>
      </c>
      <c r="D3961" t="inlineStr">
        <is>
          <t>VÄSTRA GÖTALANDS LÄN</t>
        </is>
      </c>
      <c r="E3961" t="inlineStr">
        <is>
          <t>ULRICEHAMN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38892-2020</t>
        </is>
      </c>
      <c r="B3962" s="1" t="n">
        <v>44062</v>
      </c>
      <c r="C3962" s="1" t="n">
        <v>45586</v>
      </c>
      <c r="D3962" t="inlineStr">
        <is>
          <t>VÄSTRA GÖTALANDS LÄN</t>
        </is>
      </c>
      <c r="E3962" t="inlineStr">
        <is>
          <t>DALS-ED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38915-2020</t>
        </is>
      </c>
      <c r="B3963" s="1" t="n">
        <v>44062</v>
      </c>
      <c r="C3963" s="1" t="n">
        <v>45586</v>
      </c>
      <c r="D3963" t="inlineStr">
        <is>
          <t>VÄSTRA GÖTALANDS LÄN</t>
        </is>
      </c>
      <c r="E3963" t="inlineStr">
        <is>
          <t>TANUM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39013-2020</t>
        </is>
      </c>
      <c r="B3964" s="1" t="n">
        <v>44062</v>
      </c>
      <c r="C3964" s="1" t="n">
        <v>45586</v>
      </c>
      <c r="D3964" t="inlineStr">
        <is>
          <t>VÄSTRA GÖTALANDS LÄN</t>
        </is>
      </c>
      <c r="E3964" t="inlineStr">
        <is>
          <t>HJO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38927-2020</t>
        </is>
      </c>
      <c r="B3965" s="1" t="n">
        <v>44062</v>
      </c>
      <c r="C3965" s="1" t="n">
        <v>45586</v>
      </c>
      <c r="D3965" t="inlineStr">
        <is>
          <t>VÄSTRA GÖTALANDS LÄN</t>
        </is>
      </c>
      <c r="E3965" t="inlineStr">
        <is>
          <t>MUNKEDAL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38834-2020</t>
        </is>
      </c>
      <c r="B3966" s="1" t="n">
        <v>44062</v>
      </c>
      <c r="C3966" s="1" t="n">
        <v>45586</v>
      </c>
      <c r="D3966" t="inlineStr">
        <is>
          <t>VÄSTRA GÖTALANDS LÄN</t>
        </is>
      </c>
      <c r="E3966" t="inlineStr">
        <is>
          <t>BENGTSFORS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39124-2020</t>
        </is>
      </c>
      <c r="B3967" s="1" t="n">
        <v>44063</v>
      </c>
      <c r="C3967" s="1" t="n">
        <v>45586</v>
      </c>
      <c r="D3967" t="inlineStr">
        <is>
          <t>VÄSTRA GÖTALANDS LÄN</t>
        </is>
      </c>
      <c r="E3967" t="inlineStr">
        <is>
          <t>HERRLJUNGA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39142-2020</t>
        </is>
      </c>
      <c r="B3968" s="1" t="n">
        <v>44063</v>
      </c>
      <c r="C3968" s="1" t="n">
        <v>45586</v>
      </c>
      <c r="D3968" t="inlineStr">
        <is>
          <t>VÄSTRA GÖTALANDS LÄN</t>
        </is>
      </c>
      <c r="E3968" t="inlineStr">
        <is>
          <t>MUNKEDAL</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39211-2020</t>
        </is>
      </c>
      <c r="B3969" s="1" t="n">
        <v>44063</v>
      </c>
      <c r="C3969" s="1" t="n">
        <v>45586</v>
      </c>
      <c r="D3969" t="inlineStr">
        <is>
          <t>VÄSTRA GÖTALANDS LÄN</t>
        </is>
      </c>
      <c r="E3969" t="inlineStr">
        <is>
          <t>MARIESTAD</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39179-2020</t>
        </is>
      </c>
      <c r="B3970" s="1" t="n">
        <v>44063</v>
      </c>
      <c r="C3970" s="1" t="n">
        <v>45586</v>
      </c>
      <c r="D3970" t="inlineStr">
        <is>
          <t>VÄSTRA GÖTALANDS LÄN</t>
        </is>
      </c>
      <c r="E3970" t="inlineStr">
        <is>
          <t>MARIESTAD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39253-2020</t>
        </is>
      </c>
      <c r="B3971" s="1" t="n">
        <v>44063</v>
      </c>
      <c r="C3971" s="1" t="n">
        <v>45586</v>
      </c>
      <c r="D3971" t="inlineStr">
        <is>
          <t>VÄSTRA GÖTALANDS LÄN</t>
        </is>
      </c>
      <c r="E3971" t="inlineStr">
        <is>
          <t>TIBRO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39276-2020</t>
        </is>
      </c>
      <c r="B3972" s="1" t="n">
        <v>44063</v>
      </c>
      <c r="C3972" s="1" t="n">
        <v>45586</v>
      </c>
      <c r="D3972" t="inlineStr">
        <is>
          <t>VÄSTRA GÖTALANDS LÄN</t>
        </is>
      </c>
      <c r="E3972" t="inlineStr">
        <is>
          <t>MARIESTAD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39182-2020</t>
        </is>
      </c>
      <c r="B3973" s="1" t="n">
        <v>44063</v>
      </c>
      <c r="C3973" s="1" t="n">
        <v>45586</v>
      </c>
      <c r="D3973" t="inlineStr">
        <is>
          <t>VÄSTRA GÖTALANDS LÄN</t>
        </is>
      </c>
      <c r="E3973" t="inlineStr">
        <is>
          <t>MARIESTAD</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39222-2020</t>
        </is>
      </c>
      <c r="B3974" s="1" t="n">
        <v>44063</v>
      </c>
      <c r="C3974" s="1" t="n">
        <v>45586</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39219-2020</t>
        </is>
      </c>
      <c r="B3975" s="1" t="n">
        <v>44063</v>
      </c>
      <c r="C3975" s="1" t="n">
        <v>45586</v>
      </c>
      <c r="D3975" t="inlineStr">
        <is>
          <t>VÄSTRA GÖTALANDS LÄN</t>
        </is>
      </c>
      <c r="E3975" t="inlineStr">
        <is>
          <t>SVENLJUNGA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39280-2020</t>
        </is>
      </c>
      <c r="B3976" s="1" t="n">
        <v>44063</v>
      </c>
      <c r="C3976" s="1" t="n">
        <v>45586</v>
      </c>
      <c r="D3976" t="inlineStr">
        <is>
          <t>VÄSTRA GÖTALANDS LÄN</t>
        </is>
      </c>
      <c r="E3976" t="inlineStr">
        <is>
          <t>GRÄSTORP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39257-2020</t>
        </is>
      </c>
      <c r="B3977" s="1" t="n">
        <v>44063</v>
      </c>
      <c r="C3977" s="1" t="n">
        <v>45586</v>
      </c>
      <c r="D3977" t="inlineStr">
        <is>
          <t>VÄSTRA GÖTALANDS LÄN</t>
        </is>
      </c>
      <c r="E3977" t="inlineStr">
        <is>
          <t>HERRLJUNGA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39321-2020</t>
        </is>
      </c>
      <c r="B3978" s="1" t="n">
        <v>44063</v>
      </c>
      <c r="C3978" s="1" t="n">
        <v>45586</v>
      </c>
      <c r="D3978" t="inlineStr">
        <is>
          <t>VÄSTRA GÖTALANDS LÄN</t>
        </is>
      </c>
      <c r="E3978" t="inlineStr">
        <is>
          <t>LIDKÖPING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39587-2020</t>
        </is>
      </c>
      <c r="B3979" s="1" t="n">
        <v>44063</v>
      </c>
      <c r="C3979" s="1" t="n">
        <v>45586</v>
      </c>
      <c r="D3979" t="inlineStr">
        <is>
          <t>VÄSTRA GÖTALANDS LÄN</t>
        </is>
      </c>
      <c r="E3979" t="inlineStr">
        <is>
          <t>MUNKEDAL</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39562-2020</t>
        </is>
      </c>
      <c r="B3980" s="1" t="n">
        <v>44063</v>
      </c>
      <c r="C3980" s="1" t="n">
        <v>45586</v>
      </c>
      <c r="D3980" t="inlineStr">
        <is>
          <t>VÄSTRA GÖTALANDS LÄN</t>
        </is>
      </c>
      <c r="E3980" t="inlineStr">
        <is>
          <t>GRÄSTORP</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39550-2020</t>
        </is>
      </c>
      <c r="B3981" s="1" t="n">
        <v>44064</v>
      </c>
      <c r="C3981" s="1" t="n">
        <v>45586</v>
      </c>
      <c r="D3981" t="inlineStr">
        <is>
          <t>VÄSTRA GÖTALANDS LÄN</t>
        </is>
      </c>
      <c r="E3981" t="inlineStr">
        <is>
          <t>LYSEKIL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39426-2020</t>
        </is>
      </c>
      <c r="B3982" s="1" t="n">
        <v>44064</v>
      </c>
      <c r="C3982" s="1" t="n">
        <v>45586</v>
      </c>
      <c r="D3982" t="inlineStr">
        <is>
          <t>VÄSTRA GÖTALANDS LÄN</t>
        </is>
      </c>
      <c r="E3982" t="inlineStr">
        <is>
          <t>GULLSPÅNG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39542-2020</t>
        </is>
      </c>
      <c r="B3983" s="1" t="n">
        <v>44064</v>
      </c>
      <c r="C3983" s="1" t="n">
        <v>45586</v>
      </c>
      <c r="D3983" t="inlineStr">
        <is>
          <t>VÄSTRA GÖTALANDS LÄN</t>
        </is>
      </c>
      <c r="E3983" t="inlineStr">
        <is>
          <t>GULLSPÅNG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39424-2020</t>
        </is>
      </c>
      <c r="B3984" s="1" t="n">
        <v>44064</v>
      </c>
      <c r="C3984" s="1" t="n">
        <v>45586</v>
      </c>
      <c r="D3984" t="inlineStr">
        <is>
          <t>VÄSTRA GÖTALANDS LÄN</t>
        </is>
      </c>
      <c r="E3984" t="inlineStr">
        <is>
          <t>GULLSPÅNG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39429-2020</t>
        </is>
      </c>
      <c r="B3985" s="1" t="n">
        <v>44064</v>
      </c>
      <c r="C3985" s="1" t="n">
        <v>45586</v>
      </c>
      <c r="D3985" t="inlineStr">
        <is>
          <t>VÄSTRA GÖTALANDS LÄN</t>
        </is>
      </c>
      <c r="E3985" t="inlineStr">
        <is>
          <t>GULLSPÅNG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39555-2020</t>
        </is>
      </c>
      <c r="B3986" s="1" t="n">
        <v>44064</v>
      </c>
      <c r="C3986" s="1" t="n">
        <v>45586</v>
      </c>
      <c r="D3986" t="inlineStr">
        <is>
          <t>VÄSTRA GÖTALANDS LÄN</t>
        </is>
      </c>
      <c r="E3986" t="inlineStr">
        <is>
          <t>LYSEKIL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39457-2020</t>
        </is>
      </c>
      <c r="B3987" s="1" t="n">
        <v>44064</v>
      </c>
      <c r="C3987" s="1" t="n">
        <v>45586</v>
      </c>
      <c r="D3987" t="inlineStr">
        <is>
          <t>VÄSTRA GÖTALANDS LÄN</t>
        </is>
      </c>
      <c r="E3987" t="inlineStr">
        <is>
          <t>MARIESTAD</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39722-2020</t>
        </is>
      </c>
      <c r="B3988" s="1" t="n">
        <v>44067</v>
      </c>
      <c r="C3988" s="1" t="n">
        <v>45586</v>
      </c>
      <c r="D3988" t="inlineStr">
        <is>
          <t>VÄSTRA GÖTALANDS LÄN</t>
        </is>
      </c>
      <c r="E3988" t="inlineStr">
        <is>
          <t>MARIESTAD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39750-2020</t>
        </is>
      </c>
      <c r="B3989" s="1" t="n">
        <v>44067</v>
      </c>
      <c r="C3989" s="1" t="n">
        <v>45586</v>
      </c>
      <c r="D3989" t="inlineStr">
        <is>
          <t>VÄSTRA GÖTALANDS LÄN</t>
        </is>
      </c>
      <c r="E3989" t="inlineStr">
        <is>
          <t>ÅMÅL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40044-2020</t>
        </is>
      </c>
      <c r="B3990" s="1" t="n">
        <v>44067</v>
      </c>
      <c r="C3990" s="1" t="n">
        <v>45586</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40045-2020</t>
        </is>
      </c>
      <c r="B3991" s="1" t="n">
        <v>44067</v>
      </c>
      <c r="C3991" s="1" t="n">
        <v>45586</v>
      </c>
      <c r="D3991" t="inlineStr">
        <is>
          <t>VÄSTRA GÖTALANDS LÄN</t>
        </is>
      </c>
      <c r="E3991" t="inlineStr">
        <is>
          <t>SKARA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40115-2020</t>
        </is>
      </c>
      <c r="B3992" s="1" t="n">
        <v>44068</v>
      </c>
      <c r="C3992" s="1" t="n">
        <v>45586</v>
      </c>
      <c r="D3992" t="inlineStr">
        <is>
          <t>VÄSTRA GÖTALANDS LÄN</t>
        </is>
      </c>
      <c r="E3992" t="inlineStr">
        <is>
          <t>ULRICEHAMN</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40232-2020</t>
        </is>
      </c>
      <c r="B3993" s="1" t="n">
        <v>44068</v>
      </c>
      <c r="C3993" s="1" t="n">
        <v>45586</v>
      </c>
      <c r="D3993" t="inlineStr">
        <is>
          <t>VÄSTRA GÖTALANDS LÄN</t>
        </is>
      </c>
      <c r="E3993" t="inlineStr">
        <is>
          <t>MARIESTAD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40236-2020</t>
        </is>
      </c>
      <c r="B3994" s="1" t="n">
        <v>44068</v>
      </c>
      <c r="C3994" s="1" t="n">
        <v>45586</v>
      </c>
      <c r="D3994" t="inlineStr">
        <is>
          <t>VÄSTRA GÖTALANDS LÄN</t>
        </is>
      </c>
      <c r="E3994" t="inlineStr">
        <is>
          <t>MARIESTAD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40258-2020</t>
        </is>
      </c>
      <c r="B3995" s="1" t="n">
        <v>44068</v>
      </c>
      <c r="C3995" s="1" t="n">
        <v>45586</v>
      </c>
      <c r="D3995" t="inlineStr">
        <is>
          <t>VÄSTRA GÖTALANDS LÄN</t>
        </is>
      </c>
      <c r="E3995" t="inlineStr">
        <is>
          <t>ESSUNGA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40296-2020</t>
        </is>
      </c>
      <c r="B3996" s="1" t="n">
        <v>44068</v>
      </c>
      <c r="C3996" s="1" t="n">
        <v>45586</v>
      </c>
      <c r="D3996" t="inlineStr">
        <is>
          <t>VÄSTRA GÖTALANDS LÄN</t>
        </is>
      </c>
      <c r="E3996" t="inlineStr">
        <is>
          <t>ESSUNGA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40142-2020</t>
        </is>
      </c>
      <c r="B3997" s="1" t="n">
        <v>44068</v>
      </c>
      <c r="C3997" s="1" t="n">
        <v>45586</v>
      </c>
      <c r="D3997" t="inlineStr">
        <is>
          <t>VÄSTRA GÖTALANDS LÄN</t>
        </is>
      </c>
      <c r="E3997" t="inlineStr">
        <is>
          <t>HERRLJUNGA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40293-2020</t>
        </is>
      </c>
      <c r="B3998" s="1" t="n">
        <v>44068</v>
      </c>
      <c r="C3998" s="1" t="n">
        <v>45586</v>
      </c>
      <c r="D3998" t="inlineStr">
        <is>
          <t>VÄSTRA GÖTALANDS LÄN</t>
        </is>
      </c>
      <c r="E3998" t="inlineStr">
        <is>
          <t>SVENLJUNGA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40250-2020</t>
        </is>
      </c>
      <c r="B3999" s="1" t="n">
        <v>44068</v>
      </c>
      <c r="C3999" s="1" t="n">
        <v>45586</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40423-2020</t>
        </is>
      </c>
      <c r="B4000" s="1" t="n">
        <v>44069</v>
      </c>
      <c r="C4000" s="1" t="n">
        <v>45586</v>
      </c>
      <c r="D4000" t="inlineStr">
        <is>
          <t>VÄSTRA GÖTALANDS LÄN</t>
        </is>
      </c>
      <c r="E4000" t="inlineStr">
        <is>
          <t>SVENLJUNGA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40568-2020</t>
        </is>
      </c>
      <c r="B4001" s="1" t="n">
        <v>44069</v>
      </c>
      <c r="C4001" s="1" t="n">
        <v>45586</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40456-2020</t>
        </is>
      </c>
      <c r="B4002" s="1" t="n">
        <v>44069</v>
      </c>
      <c r="C4002" s="1" t="n">
        <v>45586</v>
      </c>
      <c r="D4002" t="inlineStr">
        <is>
          <t>VÄSTRA GÖTALANDS LÄN</t>
        </is>
      </c>
      <c r="E4002" t="inlineStr">
        <is>
          <t>SKÖVDE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40541-2020</t>
        </is>
      </c>
      <c r="B4003" s="1" t="n">
        <v>44069</v>
      </c>
      <c r="C4003" s="1" t="n">
        <v>45586</v>
      </c>
      <c r="D4003" t="inlineStr">
        <is>
          <t>VÄSTRA GÖTALANDS LÄN</t>
        </is>
      </c>
      <c r="E4003" t="inlineStr">
        <is>
          <t>TIDAHOLM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40551-2020</t>
        </is>
      </c>
      <c r="B4004" s="1" t="n">
        <v>44069</v>
      </c>
      <c r="C4004" s="1" t="n">
        <v>45586</v>
      </c>
      <c r="D4004" t="inlineStr">
        <is>
          <t>VÄSTRA GÖTALANDS LÄN</t>
        </is>
      </c>
      <c r="E4004" t="inlineStr">
        <is>
          <t>BENGTSFORS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40570-2020</t>
        </is>
      </c>
      <c r="B4005" s="1" t="n">
        <v>44069</v>
      </c>
      <c r="C4005" s="1" t="n">
        <v>45586</v>
      </c>
      <c r="D4005" t="inlineStr">
        <is>
          <t>VÄSTRA GÖTALANDS LÄN</t>
        </is>
      </c>
      <c r="E4005" t="inlineStr">
        <is>
          <t>HERRLJUNGA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40580-2020</t>
        </is>
      </c>
      <c r="B4006" s="1" t="n">
        <v>44069</v>
      </c>
      <c r="C4006" s="1" t="n">
        <v>45586</v>
      </c>
      <c r="D4006" t="inlineStr">
        <is>
          <t>VÄSTRA GÖTALANDS LÄN</t>
        </is>
      </c>
      <c r="E4006" t="inlineStr">
        <is>
          <t>VÄNERSBORG</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40615-2020</t>
        </is>
      </c>
      <c r="B4007" s="1" t="n">
        <v>44069</v>
      </c>
      <c r="C4007" s="1" t="n">
        <v>45586</v>
      </c>
      <c r="D4007" t="inlineStr">
        <is>
          <t>VÄSTRA GÖTALANDS LÄN</t>
        </is>
      </c>
      <c r="E4007" t="inlineStr">
        <is>
          <t>GULLSPÅNG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40706-2020</t>
        </is>
      </c>
      <c r="B4008" s="1" t="n">
        <v>44069</v>
      </c>
      <c r="C4008" s="1" t="n">
        <v>45586</v>
      </c>
      <c r="D4008" t="inlineStr">
        <is>
          <t>VÄSTRA GÖTALANDS LÄN</t>
        </is>
      </c>
      <c r="E4008" t="inlineStr">
        <is>
          <t>DALS-ED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40677-2020</t>
        </is>
      </c>
      <c r="B4009" s="1" t="n">
        <v>44069</v>
      </c>
      <c r="C4009" s="1" t="n">
        <v>45586</v>
      </c>
      <c r="D4009" t="inlineStr">
        <is>
          <t>VÄSTRA GÖTALANDS LÄN</t>
        </is>
      </c>
      <c r="E4009" t="inlineStr">
        <is>
          <t>SKARA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40707-2020</t>
        </is>
      </c>
      <c r="B4010" s="1" t="n">
        <v>44069</v>
      </c>
      <c r="C4010" s="1" t="n">
        <v>45586</v>
      </c>
      <c r="D4010" t="inlineStr">
        <is>
          <t>VÄSTRA GÖTALANDS LÄN</t>
        </is>
      </c>
      <c r="E4010" t="inlineStr">
        <is>
          <t>GRÄSTORP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40704-2020</t>
        </is>
      </c>
      <c r="B4011" s="1" t="n">
        <v>44069</v>
      </c>
      <c r="C4011" s="1" t="n">
        <v>45586</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41215-2020</t>
        </is>
      </c>
      <c r="B4012" s="1" t="n">
        <v>44069</v>
      </c>
      <c r="C4012" s="1" t="n">
        <v>45586</v>
      </c>
      <c r="D4012" t="inlineStr">
        <is>
          <t>VÄSTRA GÖTALANDS LÄN</t>
        </is>
      </c>
      <c r="E4012" t="inlineStr">
        <is>
          <t>KARLSBORG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40821-2020</t>
        </is>
      </c>
      <c r="B4013" s="1" t="n">
        <v>44070</v>
      </c>
      <c r="C4013" s="1" t="n">
        <v>45586</v>
      </c>
      <c r="D4013" t="inlineStr">
        <is>
          <t>VÄSTRA GÖTALANDS LÄN</t>
        </is>
      </c>
      <c r="E4013" t="inlineStr">
        <is>
          <t>TRANEMO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40937-2020</t>
        </is>
      </c>
      <c r="B4014" s="1" t="n">
        <v>44070</v>
      </c>
      <c r="C4014" s="1" t="n">
        <v>45586</v>
      </c>
      <c r="D4014" t="inlineStr">
        <is>
          <t>VÄSTRA GÖTALANDS LÄN</t>
        </is>
      </c>
      <c r="E4014" t="inlineStr">
        <is>
          <t>ESSUNGA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40849-2020</t>
        </is>
      </c>
      <c r="B4015" s="1" t="n">
        <v>44070</v>
      </c>
      <c r="C4015" s="1" t="n">
        <v>45586</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40942-2020</t>
        </is>
      </c>
      <c r="B4016" s="1" t="n">
        <v>44070</v>
      </c>
      <c r="C4016" s="1" t="n">
        <v>45586</v>
      </c>
      <c r="D4016" t="inlineStr">
        <is>
          <t>VÄSTRA GÖTALANDS LÄN</t>
        </is>
      </c>
      <c r="E4016" t="inlineStr">
        <is>
          <t>ESSUNGA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40991-2020</t>
        </is>
      </c>
      <c r="B4017" s="1" t="n">
        <v>44070</v>
      </c>
      <c r="C4017" s="1" t="n">
        <v>45586</v>
      </c>
      <c r="D4017" t="inlineStr">
        <is>
          <t>VÄSTRA GÖTALANDS LÄN</t>
        </is>
      </c>
      <c r="E4017" t="inlineStr">
        <is>
          <t>ÅMÅL</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41593-2020</t>
        </is>
      </c>
      <c r="B4018" s="1" t="n">
        <v>44070</v>
      </c>
      <c r="C4018" s="1" t="n">
        <v>45586</v>
      </c>
      <c r="D4018" t="inlineStr">
        <is>
          <t>VÄSTRA GÖTALANDS LÄN</t>
        </is>
      </c>
      <c r="E4018" t="inlineStr">
        <is>
          <t>MUNKEDAL</t>
        </is>
      </c>
      <c r="F4018" t="inlineStr">
        <is>
          <t>Övriga Aktiebolag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41691-2020</t>
        </is>
      </c>
      <c r="B4019" s="1" t="n">
        <v>44070</v>
      </c>
      <c r="C4019" s="1" t="n">
        <v>45586</v>
      </c>
      <c r="D4019" t="inlineStr">
        <is>
          <t>VÄSTRA GÖTALANDS LÄN</t>
        </is>
      </c>
      <c r="E4019" t="inlineStr">
        <is>
          <t>LIDKÖPING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41220-2020</t>
        </is>
      </c>
      <c r="B4020" s="1" t="n">
        <v>44071</v>
      </c>
      <c r="C4020" s="1" t="n">
        <v>45586</v>
      </c>
      <c r="D4020" t="inlineStr">
        <is>
          <t>VÄSTRA GÖTALANDS LÄN</t>
        </is>
      </c>
      <c r="E4020" t="inlineStr">
        <is>
          <t>STRÖMSTAD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41154-2020</t>
        </is>
      </c>
      <c r="B4021" s="1" t="n">
        <v>44071</v>
      </c>
      <c r="C4021" s="1" t="n">
        <v>45586</v>
      </c>
      <c r="D4021" t="inlineStr">
        <is>
          <t>VÄSTRA GÖTALANDS LÄN</t>
        </is>
      </c>
      <c r="E4021" t="inlineStr">
        <is>
          <t>MUNKEDAL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41143-2020</t>
        </is>
      </c>
      <c r="B4022" s="1" t="n">
        <v>44071</v>
      </c>
      <c r="C4022" s="1" t="n">
        <v>45586</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41228-2020</t>
        </is>
      </c>
      <c r="B4023" s="1" t="n">
        <v>44071</v>
      </c>
      <c r="C4023" s="1" t="n">
        <v>45586</v>
      </c>
      <c r="D4023" t="inlineStr">
        <is>
          <t>VÄSTRA GÖTALANDS LÄN</t>
        </is>
      </c>
      <c r="E4023" t="inlineStr">
        <is>
          <t>STRÖMSTAD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41164-2020</t>
        </is>
      </c>
      <c r="B4024" s="1" t="n">
        <v>44071</v>
      </c>
      <c r="C4024" s="1" t="n">
        <v>45586</v>
      </c>
      <c r="D4024" t="inlineStr">
        <is>
          <t>VÄSTRA GÖTALANDS LÄN</t>
        </is>
      </c>
      <c r="E4024" t="inlineStr">
        <is>
          <t>FALKÖPING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41190-2020</t>
        </is>
      </c>
      <c r="B4025" s="1" t="n">
        <v>44071</v>
      </c>
      <c r="C4025" s="1" t="n">
        <v>45586</v>
      </c>
      <c r="D4025" t="inlineStr">
        <is>
          <t>VÄSTRA GÖTALANDS LÄN</t>
        </is>
      </c>
      <c r="E4025" t="inlineStr">
        <is>
          <t>ÅMÅL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41205-2020</t>
        </is>
      </c>
      <c r="B4026" s="1" t="n">
        <v>44071</v>
      </c>
      <c r="C4026" s="1" t="n">
        <v>45586</v>
      </c>
      <c r="D4026" t="inlineStr">
        <is>
          <t>VÄSTRA GÖTALANDS LÄN</t>
        </is>
      </c>
      <c r="E4026" t="inlineStr">
        <is>
          <t>STRÖMSTAD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41329-2020</t>
        </is>
      </c>
      <c r="B4027" s="1" t="n">
        <v>44071</v>
      </c>
      <c r="C4027" s="1" t="n">
        <v>45586</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41323-2020</t>
        </is>
      </c>
      <c r="B4028" s="1" t="n">
        <v>44071</v>
      </c>
      <c r="C4028" s="1" t="n">
        <v>45586</v>
      </c>
      <c r="D4028" t="inlineStr">
        <is>
          <t>VÄSTRA GÖTALANDS LÄN</t>
        </is>
      </c>
      <c r="E4028" t="inlineStr">
        <is>
          <t>TANUM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42091-2020</t>
        </is>
      </c>
      <c r="B4029" s="1" t="n">
        <v>44071</v>
      </c>
      <c r="C4029" s="1" t="n">
        <v>45586</v>
      </c>
      <c r="D4029" t="inlineStr">
        <is>
          <t>VÄSTRA GÖTALANDS LÄN</t>
        </is>
      </c>
      <c r="E4029" t="inlineStr">
        <is>
          <t>TIDAHOLM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41225-2020</t>
        </is>
      </c>
      <c r="B4030" s="1" t="n">
        <v>44071</v>
      </c>
      <c r="C4030" s="1" t="n">
        <v>45586</v>
      </c>
      <c r="D4030" t="inlineStr">
        <is>
          <t>VÄSTRA GÖTALANDS LÄN</t>
        </is>
      </c>
      <c r="E4030" t="inlineStr">
        <is>
          <t>STRÖMSTAD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41253-2020</t>
        </is>
      </c>
      <c r="B4031" s="1" t="n">
        <v>44071</v>
      </c>
      <c r="C4031" s="1" t="n">
        <v>45586</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42084-2020</t>
        </is>
      </c>
      <c r="B4032" s="1" t="n">
        <v>44071</v>
      </c>
      <c r="C4032" s="1" t="n">
        <v>45586</v>
      </c>
      <c r="D4032" t="inlineStr">
        <is>
          <t>VÄSTRA GÖTALANDS LÄN</t>
        </is>
      </c>
      <c r="E4032" t="inlineStr">
        <is>
          <t>TIDAHOLM</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41325-2020</t>
        </is>
      </c>
      <c r="B4033" s="1" t="n">
        <v>44071</v>
      </c>
      <c r="C4033" s="1" t="n">
        <v>45586</v>
      </c>
      <c r="D4033" t="inlineStr">
        <is>
          <t>VÄSTRA GÖTALANDS LÄN</t>
        </is>
      </c>
      <c r="E4033" t="inlineStr">
        <is>
          <t>GÖTENE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41390-2020</t>
        </is>
      </c>
      <c r="B4034" s="1" t="n">
        <v>44072</v>
      </c>
      <c r="C4034" s="1" t="n">
        <v>45586</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41385-2020</t>
        </is>
      </c>
      <c r="B4035" s="1" t="n">
        <v>44072</v>
      </c>
      <c r="C4035" s="1" t="n">
        <v>45586</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41393-2020</t>
        </is>
      </c>
      <c r="B4036" s="1" t="n">
        <v>44072</v>
      </c>
      <c r="C4036" s="1" t="n">
        <v>45586</v>
      </c>
      <c r="D4036" t="inlineStr">
        <is>
          <t>VÄSTRA GÖTALANDS LÄN</t>
        </is>
      </c>
      <c r="E4036" t="inlineStr">
        <is>
          <t>MARK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41704-2020</t>
        </is>
      </c>
      <c r="B4037" s="1" t="n">
        <v>44074</v>
      </c>
      <c r="C4037" s="1" t="n">
        <v>45586</v>
      </c>
      <c r="D4037" t="inlineStr">
        <is>
          <t>VÄSTRA GÖTALANDS LÄN</t>
        </is>
      </c>
      <c r="E4037" t="inlineStr">
        <is>
          <t>TIDAHOLM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41753-2020</t>
        </is>
      </c>
      <c r="B4038" s="1" t="n">
        <v>44074</v>
      </c>
      <c r="C4038" s="1" t="n">
        <v>45586</v>
      </c>
      <c r="D4038" t="inlineStr">
        <is>
          <t>VÄSTRA GÖTALANDS LÄN</t>
        </is>
      </c>
      <c r="E4038" t="inlineStr">
        <is>
          <t>TANUM</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41584-2020</t>
        </is>
      </c>
      <c r="B4039" s="1" t="n">
        <v>44074</v>
      </c>
      <c r="C4039" s="1" t="n">
        <v>45586</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41627-2020</t>
        </is>
      </c>
      <c r="B4040" s="1" t="n">
        <v>44074</v>
      </c>
      <c r="C4040" s="1" t="n">
        <v>45586</v>
      </c>
      <c r="D4040" t="inlineStr">
        <is>
          <t>VÄSTRA GÖTALANDS LÄN</t>
        </is>
      </c>
      <c r="E4040" t="inlineStr">
        <is>
          <t>BENGTSFORS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41710-2020</t>
        </is>
      </c>
      <c r="B4041" s="1" t="n">
        <v>44074</v>
      </c>
      <c r="C4041" s="1" t="n">
        <v>45586</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41652-2020</t>
        </is>
      </c>
      <c r="B4042" s="1" t="n">
        <v>44074</v>
      </c>
      <c r="C4042" s="1" t="n">
        <v>45586</v>
      </c>
      <c r="D4042" t="inlineStr">
        <is>
          <t>VÄSTRA GÖTALANDS LÄN</t>
        </is>
      </c>
      <c r="E4042" t="inlineStr">
        <is>
          <t>BORÅS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41780-2020</t>
        </is>
      </c>
      <c r="B4043" s="1" t="n">
        <v>44074</v>
      </c>
      <c r="C4043" s="1" t="n">
        <v>45586</v>
      </c>
      <c r="D4043" t="inlineStr">
        <is>
          <t>VÄSTRA GÖTALANDS LÄN</t>
        </is>
      </c>
      <c r="E4043" t="inlineStr">
        <is>
          <t>UDDEVALLA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41855-2020</t>
        </is>
      </c>
      <c r="B4044" s="1" t="n">
        <v>44074</v>
      </c>
      <c r="C4044" s="1" t="n">
        <v>45586</v>
      </c>
      <c r="D4044" t="inlineStr">
        <is>
          <t>VÄSTRA GÖTALANDS LÄN</t>
        </is>
      </c>
      <c r="E4044" t="inlineStr">
        <is>
          <t>SKARA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41858-2020</t>
        </is>
      </c>
      <c r="B4045" s="1" t="n">
        <v>44074</v>
      </c>
      <c r="C4045" s="1" t="n">
        <v>45586</v>
      </c>
      <c r="D4045" t="inlineStr">
        <is>
          <t>VÄSTRA GÖTALANDS LÄN</t>
        </is>
      </c>
      <c r="E4045" t="inlineStr">
        <is>
          <t>SKARA</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41856-2020</t>
        </is>
      </c>
      <c r="B4046" s="1" t="n">
        <v>44074</v>
      </c>
      <c r="C4046" s="1" t="n">
        <v>45586</v>
      </c>
      <c r="D4046" t="inlineStr">
        <is>
          <t>VÄSTRA GÖTALANDS LÄN</t>
        </is>
      </c>
      <c r="E4046" t="inlineStr">
        <is>
          <t>SKARA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42108-2020</t>
        </is>
      </c>
      <c r="B4047" s="1" t="n">
        <v>44074</v>
      </c>
      <c r="C4047" s="1" t="n">
        <v>45586</v>
      </c>
      <c r="D4047" t="inlineStr">
        <is>
          <t>VÄSTRA GÖTALANDS LÄN</t>
        </is>
      </c>
      <c r="E4047" t="inlineStr">
        <is>
          <t>ULRICEHAMN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41800-2020</t>
        </is>
      </c>
      <c r="B4048" s="1" t="n">
        <v>44074</v>
      </c>
      <c r="C4048" s="1" t="n">
        <v>45586</v>
      </c>
      <c r="D4048" t="inlineStr">
        <is>
          <t>VÄSTRA GÖTALANDS LÄN</t>
        </is>
      </c>
      <c r="E4048" t="inlineStr">
        <is>
          <t>TIDAHOLM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41946-2020</t>
        </is>
      </c>
      <c r="B4049" s="1" t="n">
        <v>44075</v>
      </c>
      <c r="C4049" s="1" t="n">
        <v>45586</v>
      </c>
      <c r="D4049" t="inlineStr">
        <is>
          <t>VÄSTRA GÖTALANDS LÄN</t>
        </is>
      </c>
      <c r="E4049" t="inlineStr">
        <is>
          <t>TIDAHOLM</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42160-2020</t>
        </is>
      </c>
      <c r="B4050" s="1" t="n">
        <v>44075</v>
      </c>
      <c r="C4050" s="1" t="n">
        <v>45586</v>
      </c>
      <c r="D4050" t="inlineStr">
        <is>
          <t>VÄSTRA GÖTALANDS LÄN</t>
        </is>
      </c>
      <c r="E4050" t="inlineStr">
        <is>
          <t>SKÖVDE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42170-2020</t>
        </is>
      </c>
      <c r="B4051" s="1" t="n">
        <v>44075</v>
      </c>
      <c r="C4051" s="1" t="n">
        <v>45586</v>
      </c>
      <c r="D4051" t="inlineStr">
        <is>
          <t>VÄSTRA GÖTALANDS LÄN</t>
        </is>
      </c>
      <c r="E4051" t="inlineStr">
        <is>
          <t>GRÄSTORP</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42660-2020</t>
        </is>
      </c>
      <c r="B4052" s="1" t="n">
        <v>44075</v>
      </c>
      <c r="C4052" s="1" t="n">
        <v>45586</v>
      </c>
      <c r="D4052" t="inlineStr">
        <is>
          <t>VÄSTRA GÖTALANDS LÄN</t>
        </is>
      </c>
      <c r="E4052" t="inlineStr">
        <is>
          <t>LIDKÖPING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41910-2020</t>
        </is>
      </c>
      <c r="B4053" s="1" t="n">
        <v>44075</v>
      </c>
      <c r="C4053" s="1" t="n">
        <v>45586</v>
      </c>
      <c r="D4053" t="inlineStr">
        <is>
          <t>VÄSTRA GÖTALANDS LÄN</t>
        </is>
      </c>
      <c r="E4053" t="inlineStr">
        <is>
          <t>ULRICEHAMN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42676-2020</t>
        </is>
      </c>
      <c r="B4054" s="1" t="n">
        <v>44075</v>
      </c>
      <c r="C4054" s="1" t="n">
        <v>45586</v>
      </c>
      <c r="D4054" t="inlineStr">
        <is>
          <t>VÄSTRA GÖTALANDS LÄN</t>
        </is>
      </c>
      <c r="E4054" t="inlineStr">
        <is>
          <t>VARA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42370-2020</t>
        </is>
      </c>
      <c r="B4055" s="1" t="n">
        <v>44076</v>
      </c>
      <c r="C4055" s="1" t="n">
        <v>45586</v>
      </c>
      <c r="D4055" t="inlineStr">
        <is>
          <t>VÄSTRA GÖTALANDS LÄN</t>
        </is>
      </c>
      <c r="E4055" t="inlineStr">
        <is>
          <t>SVENLJUNGA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42416-2020</t>
        </is>
      </c>
      <c r="B4056" s="1" t="n">
        <v>44076</v>
      </c>
      <c r="C4056" s="1" t="n">
        <v>45586</v>
      </c>
      <c r="D4056" t="inlineStr">
        <is>
          <t>VÄSTRA GÖTALANDS LÄN</t>
        </is>
      </c>
      <c r="E4056" t="inlineStr">
        <is>
          <t>BENGTSFORS</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42424-2020</t>
        </is>
      </c>
      <c r="B4057" s="1" t="n">
        <v>44076</v>
      </c>
      <c r="C4057" s="1" t="n">
        <v>45586</v>
      </c>
      <c r="D4057" t="inlineStr">
        <is>
          <t>VÄSTRA GÖTALANDS LÄN</t>
        </is>
      </c>
      <c r="E4057" t="inlineStr">
        <is>
          <t>BENGTSFORS</t>
        </is>
      </c>
      <c r="F4057" t="inlineStr">
        <is>
          <t>Övriga Aktiebolag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42450-2020</t>
        </is>
      </c>
      <c r="B4058" s="1" t="n">
        <v>44076</v>
      </c>
      <c r="C4058" s="1" t="n">
        <v>45586</v>
      </c>
      <c r="D4058" t="inlineStr">
        <is>
          <t>VÄSTRA GÖTALANDS LÄN</t>
        </is>
      </c>
      <c r="E4058" t="inlineStr">
        <is>
          <t>TÖREBODA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42407-2020</t>
        </is>
      </c>
      <c r="B4059" s="1" t="n">
        <v>44076</v>
      </c>
      <c r="C4059" s="1" t="n">
        <v>45586</v>
      </c>
      <c r="D4059" t="inlineStr">
        <is>
          <t>VÄSTRA GÖTALANDS LÄN</t>
        </is>
      </c>
      <c r="E4059" t="inlineStr">
        <is>
          <t>BORÅS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42419-2020</t>
        </is>
      </c>
      <c r="B4060" s="1" t="n">
        <v>44076</v>
      </c>
      <c r="C4060" s="1" t="n">
        <v>45586</v>
      </c>
      <c r="D4060" t="inlineStr">
        <is>
          <t>VÄSTRA GÖTALANDS LÄN</t>
        </is>
      </c>
      <c r="E4060" t="inlineStr">
        <is>
          <t>BENGTSFORS</t>
        </is>
      </c>
      <c r="F4060" t="inlineStr">
        <is>
          <t>Övriga Aktiebolag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43345-2020</t>
        </is>
      </c>
      <c r="B4061" s="1" t="n">
        <v>44076</v>
      </c>
      <c r="C4061" s="1" t="n">
        <v>45586</v>
      </c>
      <c r="D4061" t="inlineStr">
        <is>
          <t>VÄSTRA GÖTALANDS LÄN</t>
        </is>
      </c>
      <c r="E4061" t="inlineStr">
        <is>
          <t>TANUM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42497-2020</t>
        </is>
      </c>
      <c r="B4062" s="1" t="n">
        <v>44077</v>
      </c>
      <c r="C4062" s="1" t="n">
        <v>45586</v>
      </c>
      <c r="D4062" t="inlineStr">
        <is>
          <t>VÄSTRA GÖTALANDS LÄN</t>
        </is>
      </c>
      <c r="E4062" t="inlineStr">
        <is>
          <t>DALS-ED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42573-2020</t>
        </is>
      </c>
      <c r="B4063" s="1" t="n">
        <v>44077</v>
      </c>
      <c r="C4063" s="1" t="n">
        <v>45586</v>
      </c>
      <c r="D4063" t="inlineStr">
        <is>
          <t>VÄSTRA GÖTALANDS LÄN</t>
        </is>
      </c>
      <c r="E4063" t="inlineStr">
        <is>
          <t>BENGTSFORS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42579-2020</t>
        </is>
      </c>
      <c r="B4064" s="1" t="n">
        <v>44077</v>
      </c>
      <c r="C4064" s="1" t="n">
        <v>45586</v>
      </c>
      <c r="D4064" t="inlineStr">
        <is>
          <t>VÄSTRA GÖTALANDS LÄN</t>
        </is>
      </c>
      <c r="E4064" t="inlineStr">
        <is>
          <t>HERRLJUNGA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42630-2020</t>
        </is>
      </c>
      <c r="B4065" s="1" t="n">
        <v>44077</v>
      </c>
      <c r="C4065" s="1" t="n">
        <v>45586</v>
      </c>
      <c r="D4065" t="inlineStr">
        <is>
          <t>VÄSTRA GÖTALANDS LÄN</t>
        </is>
      </c>
      <c r="E4065" t="inlineStr">
        <is>
          <t>BORÅS</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42645-2020</t>
        </is>
      </c>
      <c r="B4066" s="1" t="n">
        <v>44077</v>
      </c>
      <c r="C4066" s="1" t="n">
        <v>45586</v>
      </c>
      <c r="D4066" t="inlineStr">
        <is>
          <t>VÄSTRA GÖTALANDS LÄN</t>
        </is>
      </c>
      <c r="E4066" t="inlineStr">
        <is>
          <t>BORÅS</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43571-2020</t>
        </is>
      </c>
      <c r="B4067" s="1" t="n">
        <v>44077</v>
      </c>
      <c r="C4067" s="1" t="n">
        <v>45586</v>
      </c>
      <c r="D4067" t="inlineStr">
        <is>
          <t>VÄSTRA GÖTALANDS LÄN</t>
        </is>
      </c>
      <c r="E4067" t="inlineStr">
        <is>
          <t>GRÄSTORP</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42848-2020</t>
        </is>
      </c>
      <c r="B4068" s="1" t="n">
        <v>44078</v>
      </c>
      <c r="C4068" s="1" t="n">
        <v>45586</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42869-2020</t>
        </is>
      </c>
      <c r="B4069" s="1" t="n">
        <v>44078</v>
      </c>
      <c r="C4069" s="1" t="n">
        <v>45586</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42878-2020</t>
        </is>
      </c>
      <c r="B4070" s="1" t="n">
        <v>44078</v>
      </c>
      <c r="C4070" s="1" t="n">
        <v>45586</v>
      </c>
      <c r="D4070" t="inlineStr">
        <is>
          <t>VÄSTRA GÖTALANDS LÄN</t>
        </is>
      </c>
      <c r="E4070" t="inlineStr">
        <is>
          <t>BOLLEBYGD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43017-2020</t>
        </is>
      </c>
      <c r="B4071" s="1" t="n">
        <v>44078</v>
      </c>
      <c r="C4071" s="1" t="n">
        <v>45586</v>
      </c>
      <c r="D4071" t="inlineStr">
        <is>
          <t>VÄSTRA GÖTALANDS LÄN</t>
        </is>
      </c>
      <c r="E4071" t="inlineStr">
        <is>
          <t>TIDAHOLM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43048-2020</t>
        </is>
      </c>
      <c r="B4072" s="1" t="n">
        <v>44078</v>
      </c>
      <c r="C4072" s="1" t="n">
        <v>45586</v>
      </c>
      <c r="D4072" t="inlineStr">
        <is>
          <t>VÄSTRA GÖTALANDS LÄN</t>
        </is>
      </c>
      <c r="E4072" t="inlineStr">
        <is>
          <t>FÄRGELANDA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42867-2020</t>
        </is>
      </c>
      <c r="B4073" s="1" t="n">
        <v>44078</v>
      </c>
      <c r="C4073" s="1" t="n">
        <v>45586</v>
      </c>
      <c r="D4073" t="inlineStr">
        <is>
          <t>VÄSTRA GÖTALANDS LÄN</t>
        </is>
      </c>
      <c r="E4073" t="inlineStr">
        <is>
          <t>TANUM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43019-2020</t>
        </is>
      </c>
      <c r="B4074" s="1" t="n">
        <v>44078</v>
      </c>
      <c r="C4074" s="1" t="n">
        <v>45586</v>
      </c>
      <c r="D4074" t="inlineStr">
        <is>
          <t>VÄSTRA GÖTALANDS LÄN</t>
        </is>
      </c>
      <c r="E4074" t="inlineStr">
        <is>
          <t>TIDAHOLM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42916-2020</t>
        </is>
      </c>
      <c r="B4075" s="1" t="n">
        <v>44078</v>
      </c>
      <c r="C4075" s="1" t="n">
        <v>45586</v>
      </c>
      <c r="D4075" t="inlineStr">
        <is>
          <t>VÄSTRA GÖTALANDS LÄN</t>
        </is>
      </c>
      <c r="E4075" t="inlineStr">
        <is>
          <t>MUNKEDAL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42931-2020</t>
        </is>
      </c>
      <c r="B4076" s="1" t="n">
        <v>44078</v>
      </c>
      <c r="C4076" s="1" t="n">
        <v>45586</v>
      </c>
      <c r="D4076" t="inlineStr">
        <is>
          <t>VÄSTRA GÖTALANDS LÄN</t>
        </is>
      </c>
      <c r="E4076" t="inlineStr">
        <is>
          <t>VÅRGÅRDA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42943-2020</t>
        </is>
      </c>
      <c r="B4077" s="1" t="n">
        <v>44078</v>
      </c>
      <c r="C4077" s="1" t="n">
        <v>45586</v>
      </c>
      <c r="D4077" t="inlineStr">
        <is>
          <t>VÄSTRA GÖTALANDS LÄN</t>
        </is>
      </c>
      <c r="E4077" t="inlineStr">
        <is>
          <t>HERRLJUNGA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43194-2020</t>
        </is>
      </c>
      <c r="B4078" s="1" t="n">
        <v>44081</v>
      </c>
      <c r="C4078" s="1" t="n">
        <v>45586</v>
      </c>
      <c r="D4078" t="inlineStr">
        <is>
          <t>VÄSTRA GÖTALANDS LÄN</t>
        </is>
      </c>
      <c r="E4078" t="inlineStr">
        <is>
          <t>HÄRRYDA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43198-2020</t>
        </is>
      </c>
      <c r="B4079" s="1" t="n">
        <v>44081</v>
      </c>
      <c r="C4079" s="1" t="n">
        <v>45586</v>
      </c>
      <c r="D4079" t="inlineStr">
        <is>
          <t>VÄSTRA GÖTALANDS LÄN</t>
        </is>
      </c>
      <c r="E4079" t="inlineStr">
        <is>
          <t>HÄRRYDA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43235-2020</t>
        </is>
      </c>
      <c r="B4080" s="1" t="n">
        <v>44081</v>
      </c>
      <c r="C4080" s="1" t="n">
        <v>45586</v>
      </c>
      <c r="D4080" t="inlineStr">
        <is>
          <t>VÄSTRA GÖTALANDS LÄN</t>
        </is>
      </c>
      <c r="E4080" t="inlineStr">
        <is>
          <t>VÅRGÅRDA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43329-2020</t>
        </is>
      </c>
      <c r="B4081" s="1" t="n">
        <v>44081</v>
      </c>
      <c r="C4081" s="1" t="n">
        <v>45586</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43337-2020</t>
        </is>
      </c>
      <c r="B4082" s="1" t="n">
        <v>44081</v>
      </c>
      <c r="C4082" s="1" t="n">
        <v>45586</v>
      </c>
      <c r="D4082" t="inlineStr">
        <is>
          <t>VÄSTRA GÖTALANDS LÄN</t>
        </is>
      </c>
      <c r="E4082" t="inlineStr">
        <is>
          <t>TRANEMO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43202-2020</t>
        </is>
      </c>
      <c r="B4083" s="1" t="n">
        <v>44081</v>
      </c>
      <c r="C4083" s="1" t="n">
        <v>45586</v>
      </c>
      <c r="D4083" t="inlineStr">
        <is>
          <t>VÄSTRA GÖTALANDS LÄN</t>
        </is>
      </c>
      <c r="E4083" t="inlineStr">
        <is>
          <t>HÄRRYDA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43338-2020</t>
        </is>
      </c>
      <c r="B4084" s="1" t="n">
        <v>44081</v>
      </c>
      <c r="C4084" s="1" t="n">
        <v>45586</v>
      </c>
      <c r="D4084" t="inlineStr">
        <is>
          <t>VÄSTRA GÖTALANDS LÄN</t>
        </is>
      </c>
      <c r="E4084" t="inlineStr">
        <is>
          <t>SKARA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43293-2020</t>
        </is>
      </c>
      <c r="B4085" s="1" t="n">
        <v>44081</v>
      </c>
      <c r="C4085" s="1" t="n">
        <v>45586</v>
      </c>
      <c r="D4085" t="inlineStr">
        <is>
          <t>VÄSTRA GÖTALANDS LÄN</t>
        </is>
      </c>
      <c r="E4085" t="inlineStr">
        <is>
          <t>MARIESTAD</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43333-2020</t>
        </is>
      </c>
      <c r="B4086" s="1" t="n">
        <v>44081</v>
      </c>
      <c r="C4086" s="1" t="n">
        <v>45586</v>
      </c>
      <c r="D4086" t="inlineStr">
        <is>
          <t>VÄSTRA GÖTALANDS LÄN</t>
        </is>
      </c>
      <c r="E4086" t="inlineStr">
        <is>
          <t>TRANEMO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43434-2020</t>
        </is>
      </c>
      <c r="B4087" s="1" t="n">
        <v>44081</v>
      </c>
      <c r="C4087" s="1" t="n">
        <v>45586</v>
      </c>
      <c r="D4087" t="inlineStr">
        <is>
          <t>VÄSTRA GÖTALANDS LÄN</t>
        </is>
      </c>
      <c r="E4087" t="inlineStr">
        <is>
          <t>SKARA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43474-2020</t>
        </is>
      </c>
      <c r="B4088" s="1" t="n">
        <v>44082</v>
      </c>
      <c r="C4088" s="1" t="n">
        <v>45586</v>
      </c>
      <c r="D4088" t="inlineStr">
        <is>
          <t>VÄSTRA GÖTALANDS LÄN</t>
        </is>
      </c>
      <c r="E4088" t="inlineStr">
        <is>
          <t>TIBRO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43568-2020</t>
        </is>
      </c>
      <c r="B4089" s="1" t="n">
        <v>44082</v>
      </c>
      <c r="C4089" s="1" t="n">
        <v>45586</v>
      </c>
      <c r="D4089" t="inlineStr">
        <is>
          <t>VÄSTRA GÖTALANDS LÄN</t>
        </is>
      </c>
      <c r="E4089" t="inlineStr">
        <is>
          <t>BOLLEBYGD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43588-2020</t>
        </is>
      </c>
      <c r="B4090" s="1" t="n">
        <v>44082</v>
      </c>
      <c r="C4090" s="1" t="n">
        <v>45586</v>
      </c>
      <c r="D4090" t="inlineStr">
        <is>
          <t>VÄSTRA GÖTALANDS LÄN</t>
        </is>
      </c>
      <c r="E4090" t="inlineStr">
        <is>
          <t>ULRICEHAMN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43783-2020</t>
        </is>
      </c>
      <c r="B4091" s="1" t="n">
        <v>44082</v>
      </c>
      <c r="C4091" s="1" t="n">
        <v>45586</v>
      </c>
      <c r="D4091" t="inlineStr">
        <is>
          <t>VÄSTRA GÖTALANDS LÄN</t>
        </is>
      </c>
      <c r="E4091" t="inlineStr">
        <is>
          <t>SKÖVDE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43698-2020</t>
        </is>
      </c>
      <c r="B4092" s="1" t="n">
        <v>44082</v>
      </c>
      <c r="C4092" s="1" t="n">
        <v>45586</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43784-2020</t>
        </is>
      </c>
      <c r="B4093" s="1" t="n">
        <v>44082</v>
      </c>
      <c r="C4093" s="1" t="n">
        <v>45586</v>
      </c>
      <c r="D4093" t="inlineStr">
        <is>
          <t>VÄSTRA GÖTALANDS LÄN</t>
        </is>
      </c>
      <c r="E4093" t="inlineStr">
        <is>
          <t>TÖREBODA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43727-2020</t>
        </is>
      </c>
      <c r="B4094" s="1" t="n">
        <v>44082</v>
      </c>
      <c r="C4094" s="1" t="n">
        <v>45586</v>
      </c>
      <c r="D4094" t="inlineStr">
        <is>
          <t>VÄSTRA GÖTALANDS LÄN</t>
        </is>
      </c>
      <c r="E4094" t="inlineStr">
        <is>
          <t>TJÖRN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43766-2020</t>
        </is>
      </c>
      <c r="B4095" s="1" t="n">
        <v>44082</v>
      </c>
      <c r="C4095" s="1" t="n">
        <v>45586</v>
      </c>
      <c r="D4095" t="inlineStr">
        <is>
          <t>VÄSTRA GÖTALANDS LÄN</t>
        </is>
      </c>
      <c r="E4095" t="inlineStr">
        <is>
          <t>STRÖMSTAD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44146-2020</t>
        </is>
      </c>
      <c r="B4096" s="1" t="n">
        <v>44082</v>
      </c>
      <c r="C4096" s="1" t="n">
        <v>45586</v>
      </c>
      <c r="D4096" t="inlineStr">
        <is>
          <t>VÄSTRA GÖTALANDS LÄN</t>
        </is>
      </c>
      <c r="E4096" t="inlineStr">
        <is>
          <t>STRÖMSTAD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43981-2020</t>
        </is>
      </c>
      <c r="B4097" s="1" t="n">
        <v>44083</v>
      </c>
      <c r="C4097" s="1" t="n">
        <v>45586</v>
      </c>
      <c r="D4097" t="inlineStr">
        <is>
          <t>VÄSTRA GÖTALANDS LÄN</t>
        </is>
      </c>
      <c r="E4097" t="inlineStr">
        <is>
          <t>TRANEMO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43931-2020</t>
        </is>
      </c>
      <c r="B4098" s="1" t="n">
        <v>44083</v>
      </c>
      <c r="C4098" s="1" t="n">
        <v>45586</v>
      </c>
      <c r="D4098" t="inlineStr">
        <is>
          <t>VÄSTRA GÖTALANDS LÄN</t>
        </is>
      </c>
      <c r="E4098" t="inlineStr">
        <is>
          <t>GULLSPÅNG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43973-2020</t>
        </is>
      </c>
      <c r="B4099" s="1" t="n">
        <v>44083</v>
      </c>
      <c r="C4099" s="1" t="n">
        <v>45586</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44719-2020</t>
        </is>
      </c>
      <c r="B4100" s="1" t="n">
        <v>44083</v>
      </c>
      <c r="C4100" s="1" t="n">
        <v>45586</v>
      </c>
      <c r="D4100" t="inlineStr">
        <is>
          <t>VÄSTRA GÖTALANDS LÄN</t>
        </is>
      </c>
      <c r="E4100" t="inlineStr">
        <is>
          <t>TÖREBODA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44728-2020</t>
        </is>
      </c>
      <c r="B4101" s="1" t="n">
        <v>44083</v>
      </c>
      <c r="C4101" s="1" t="n">
        <v>45586</v>
      </c>
      <c r="D4101" t="inlineStr">
        <is>
          <t>VÄSTRA GÖTALANDS LÄN</t>
        </is>
      </c>
      <c r="E4101" t="inlineStr">
        <is>
          <t>TÖREBODA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44215-2020</t>
        </is>
      </c>
      <c r="B4102" s="1" t="n">
        <v>44084</v>
      </c>
      <c r="C4102" s="1" t="n">
        <v>45586</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44286-2020</t>
        </is>
      </c>
      <c r="B4103" s="1" t="n">
        <v>44084</v>
      </c>
      <c r="C4103" s="1" t="n">
        <v>45586</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44357-2020</t>
        </is>
      </c>
      <c r="B4104" s="1" t="n">
        <v>44084</v>
      </c>
      <c r="C4104" s="1" t="n">
        <v>45586</v>
      </c>
      <c r="D4104" t="inlineStr">
        <is>
          <t>VÄSTRA GÖTALANDS LÄN</t>
        </is>
      </c>
      <c r="E4104" t="inlineStr">
        <is>
          <t>TJÖRN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44301-2020</t>
        </is>
      </c>
      <c r="B4105" s="1" t="n">
        <v>44084</v>
      </c>
      <c r="C4105" s="1" t="n">
        <v>45586</v>
      </c>
      <c r="D4105" t="inlineStr">
        <is>
          <t>VÄSTRA GÖTALANDS LÄN</t>
        </is>
      </c>
      <c r="E4105" t="inlineStr">
        <is>
          <t>LERUM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44348-2020</t>
        </is>
      </c>
      <c r="B4106" s="1" t="n">
        <v>44084</v>
      </c>
      <c r="C4106" s="1" t="n">
        <v>45586</v>
      </c>
      <c r="D4106" t="inlineStr">
        <is>
          <t>VÄSTRA GÖTALANDS LÄN</t>
        </is>
      </c>
      <c r="E4106" t="inlineStr">
        <is>
          <t>FÄRGELANDA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44462-2020</t>
        </is>
      </c>
      <c r="B4107" s="1" t="n">
        <v>44084</v>
      </c>
      <c r="C4107" s="1" t="n">
        <v>45586</v>
      </c>
      <c r="D4107" t="inlineStr">
        <is>
          <t>VÄSTRA GÖTALANDS LÄN</t>
        </is>
      </c>
      <c r="E4107" t="inlineStr">
        <is>
          <t>ULRICEHAMN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44492-2020</t>
        </is>
      </c>
      <c r="B4108" s="1" t="n">
        <v>44084</v>
      </c>
      <c r="C4108" s="1" t="n">
        <v>45586</v>
      </c>
      <c r="D4108" t="inlineStr">
        <is>
          <t>VÄSTRA GÖTALANDS LÄN</t>
        </is>
      </c>
      <c r="E4108" t="inlineStr">
        <is>
          <t>TIBRO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44434-2020</t>
        </is>
      </c>
      <c r="B4109" s="1" t="n">
        <v>44084</v>
      </c>
      <c r="C4109" s="1" t="n">
        <v>45586</v>
      </c>
      <c r="D4109" t="inlineStr">
        <is>
          <t>VÄSTRA GÖTALANDS LÄN</t>
        </is>
      </c>
      <c r="E4109" t="inlineStr">
        <is>
          <t>VARA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44382-2020</t>
        </is>
      </c>
      <c r="B4110" s="1" t="n">
        <v>44084</v>
      </c>
      <c r="C4110" s="1" t="n">
        <v>45586</v>
      </c>
      <c r="D4110" t="inlineStr">
        <is>
          <t>VÄSTRA GÖTALANDS LÄN</t>
        </is>
      </c>
      <c r="E4110" t="inlineStr">
        <is>
          <t>SOTENÄS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44344-2020</t>
        </is>
      </c>
      <c r="B4111" s="1" t="n">
        <v>44084</v>
      </c>
      <c r="C4111" s="1" t="n">
        <v>45586</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45154-2020</t>
        </is>
      </c>
      <c r="B4112" s="1" t="n">
        <v>44084</v>
      </c>
      <c r="C4112" s="1" t="n">
        <v>45586</v>
      </c>
      <c r="D4112" t="inlineStr">
        <is>
          <t>VÄSTRA GÖTALANDS LÄN</t>
        </is>
      </c>
      <c r="E4112" t="inlineStr">
        <is>
          <t>LIDKÖPING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44519-2020</t>
        </is>
      </c>
      <c r="B4113" s="1" t="n">
        <v>44085</v>
      </c>
      <c r="C4113" s="1" t="n">
        <v>45586</v>
      </c>
      <c r="D4113" t="inlineStr">
        <is>
          <t>VÄSTRA GÖTALANDS LÄN</t>
        </is>
      </c>
      <c r="E4113" t="inlineStr">
        <is>
          <t>SKARA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44542-2020</t>
        </is>
      </c>
      <c r="B4114" s="1" t="n">
        <v>44085</v>
      </c>
      <c r="C4114" s="1" t="n">
        <v>45586</v>
      </c>
      <c r="D4114" t="inlineStr">
        <is>
          <t>VÄSTRA GÖTALANDS LÄN</t>
        </is>
      </c>
      <c r="E4114" t="inlineStr">
        <is>
          <t>STRÖMSTAD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44627-2020</t>
        </is>
      </c>
      <c r="B4115" s="1" t="n">
        <v>44085</v>
      </c>
      <c r="C4115" s="1" t="n">
        <v>45586</v>
      </c>
      <c r="D4115" t="inlineStr">
        <is>
          <t>VÄSTRA GÖTALANDS LÄN</t>
        </is>
      </c>
      <c r="E4115" t="inlineStr">
        <is>
          <t>VÄNERSBORG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44517-2020</t>
        </is>
      </c>
      <c r="B4116" s="1" t="n">
        <v>44085</v>
      </c>
      <c r="C4116" s="1" t="n">
        <v>45586</v>
      </c>
      <c r="D4116" t="inlineStr">
        <is>
          <t>VÄSTRA GÖTALANDS LÄN</t>
        </is>
      </c>
      <c r="E4116" t="inlineStr">
        <is>
          <t>SKARA</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44547-2020</t>
        </is>
      </c>
      <c r="B4117" s="1" t="n">
        <v>44085</v>
      </c>
      <c r="C4117" s="1" t="n">
        <v>45586</v>
      </c>
      <c r="D4117" t="inlineStr">
        <is>
          <t>VÄSTRA GÖTALANDS LÄN</t>
        </is>
      </c>
      <c r="E4117" t="inlineStr">
        <is>
          <t>HERRLJUNGA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44553-2020</t>
        </is>
      </c>
      <c r="B4118" s="1" t="n">
        <v>44085</v>
      </c>
      <c r="C4118" s="1" t="n">
        <v>45586</v>
      </c>
      <c r="D4118" t="inlineStr">
        <is>
          <t>VÄSTRA GÖTALANDS LÄN</t>
        </is>
      </c>
      <c r="E4118" t="inlineStr">
        <is>
          <t>STRÖMSTAD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44625-2020</t>
        </is>
      </c>
      <c r="B4119" s="1" t="n">
        <v>44085</v>
      </c>
      <c r="C4119" s="1" t="n">
        <v>45586</v>
      </c>
      <c r="D4119" t="inlineStr">
        <is>
          <t>VÄSTRA GÖTALANDS LÄN</t>
        </is>
      </c>
      <c r="E4119" t="inlineStr">
        <is>
          <t>VÄNERSBORG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44647-2020</t>
        </is>
      </c>
      <c r="B4120" s="1" t="n">
        <v>44085</v>
      </c>
      <c r="C4120" s="1" t="n">
        <v>45586</v>
      </c>
      <c r="D4120" t="inlineStr">
        <is>
          <t>VÄSTRA GÖTALANDS LÄN</t>
        </is>
      </c>
      <c r="E4120" t="inlineStr">
        <is>
          <t>HÄRRYDA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44520-2020</t>
        </is>
      </c>
      <c r="B4121" s="1" t="n">
        <v>44085</v>
      </c>
      <c r="C4121" s="1" t="n">
        <v>45586</v>
      </c>
      <c r="D4121" t="inlineStr">
        <is>
          <t>VÄSTRA GÖTALANDS LÄN</t>
        </is>
      </c>
      <c r="E4121" t="inlineStr">
        <is>
          <t>SKARA</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44612-2020</t>
        </is>
      </c>
      <c r="B4122" s="1" t="n">
        <v>44085</v>
      </c>
      <c r="C4122" s="1" t="n">
        <v>45586</v>
      </c>
      <c r="D4122" t="inlineStr">
        <is>
          <t>VÄSTRA GÖTALANDS LÄN</t>
        </is>
      </c>
      <c r="E4122" t="inlineStr">
        <is>
          <t>TJÖRN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44794-2020</t>
        </is>
      </c>
      <c r="B4123" s="1" t="n">
        <v>44085</v>
      </c>
      <c r="C4123" s="1" t="n">
        <v>45586</v>
      </c>
      <c r="D4123" t="inlineStr">
        <is>
          <t>VÄSTRA GÖTALANDS LÄN</t>
        </is>
      </c>
      <c r="E4123" t="inlineStr">
        <is>
          <t>HERRLJUNGA</t>
        </is>
      </c>
      <c r="F4123" t="inlineStr">
        <is>
          <t>Övriga statliga verk och myndigheter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44782-2020</t>
        </is>
      </c>
      <c r="B4124" s="1" t="n">
        <v>44085</v>
      </c>
      <c r="C4124" s="1" t="n">
        <v>45586</v>
      </c>
      <c r="D4124" t="inlineStr">
        <is>
          <t>VÄSTRA GÖTALANDS LÄN</t>
        </is>
      </c>
      <c r="E4124" t="inlineStr">
        <is>
          <t>HERRLJUNGA</t>
        </is>
      </c>
      <c r="F4124" t="inlineStr">
        <is>
          <t>Övriga statliga verk och myndigheter</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44790-2020</t>
        </is>
      </c>
      <c r="B4125" s="1" t="n">
        <v>44085</v>
      </c>
      <c r="C4125" s="1" t="n">
        <v>45586</v>
      </c>
      <c r="D4125" t="inlineStr">
        <is>
          <t>VÄSTRA GÖTALANDS LÄN</t>
        </is>
      </c>
      <c r="E4125" t="inlineStr">
        <is>
          <t>HERRLJUNGA</t>
        </is>
      </c>
      <c r="F4125" t="inlineStr">
        <is>
          <t>Övriga statliga verk och myndigheter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44796-2020</t>
        </is>
      </c>
      <c r="B4126" s="1" t="n">
        <v>44085</v>
      </c>
      <c r="C4126" s="1" t="n">
        <v>45586</v>
      </c>
      <c r="D4126" t="inlineStr">
        <is>
          <t>VÄSTRA GÖTALANDS LÄN</t>
        </is>
      </c>
      <c r="E4126" t="inlineStr">
        <is>
          <t>MELLERUD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44814-2020</t>
        </is>
      </c>
      <c r="B4127" s="1" t="n">
        <v>44085</v>
      </c>
      <c r="C4127" s="1" t="n">
        <v>45586</v>
      </c>
      <c r="D4127" t="inlineStr">
        <is>
          <t>VÄSTRA GÖTALANDS LÄN</t>
        </is>
      </c>
      <c r="E4127" t="inlineStr">
        <is>
          <t>HJO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45383-2020</t>
        </is>
      </c>
      <c r="B4128" s="1" t="n">
        <v>44085</v>
      </c>
      <c r="C4128" s="1" t="n">
        <v>45586</v>
      </c>
      <c r="D4128" t="inlineStr">
        <is>
          <t>VÄSTRA GÖTALANDS LÄN</t>
        </is>
      </c>
      <c r="E4128" t="inlineStr">
        <is>
          <t>ÅMÅL</t>
        </is>
      </c>
      <c r="F4128" t="inlineStr">
        <is>
          <t>Bergvik skog väst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44787-2020</t>
        </is>
      </c>
      <c r="B4129" s="1" t="n">
        <v>44085</v>
      </c>
      <c r="C4129" s="1" t="n">
        <v>45586</v>
      </c>
      <c r="D4129" t="inlineStr">
        <is>
          <t>VÄSTRA GÖTALANDS LÄN</t>
        </is>
      </c>
      <c r="E4129" t="inlineStr">
        <is>
          <t>HERRLJUNGA</t>
        </is>
      </c>
      <c r="F4129" t="inlineStr">
        <is>
          <t>Övriga statliga verk och myndigheter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44742-2020</t>
        </is>
      </c>
      <c r="B4130" s="1" t="n">
        <v>44085</v>
      </c>
      <c r="C4130" s="1" t="n">
        <v>45586</v>
      </c>
      <c r="D4130" t="inlineStr">
        <is>
          <t>VÄSTRA GÖTALANDS LÄN</t>
        </is>
      </c>
      <c r="E4130" t="inlineStr">
        <is>
          <t>BORÅS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44844-2020</t>
        </is>
      </c>
      <c r="B4131" s="1" t="n">
        <v>44086</v>
      </c>
      <c r="C4131" s="1" t="n">
        <v>45586</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44842-2020</t>
        </is>
      </c>
      <c r="B4132" s="1" t="n">
        <v>44086</v>
      </c>
      <c r="C4132" s="1" t="n">
        <v>45586</v>
      </c>
      <c r="D4132" t="inlineStr">
        <is>
          <t>VÄSTRA GÖTALANDS LÄN</t>
        </is>
      </c>
      <c r="E4132" t="inlineStr">
        <is>
          <t>SVENLJUNGA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45713-2020</t>
        </is>
      </c>
      <c r="B4133" s="1" t="n">
        <v>44086</v>
      </c>
      <c r="C4133" s="1" t="n">
        <v>45586</v>
      </c>
      <c r="D4133" t="inlineStr">
        <is>
          <t>VÄSTRA GÖTALANDS LÄN</t>
        </is>
      </c>
      <c r="E4133" t="inlineStr">
        <is>
          <t>MUNKEDAL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44874-2020</t>
        </is>
      </c>
      <c r="B4134" s="1" t="n">
        <v>44087</v>
      </c>
      <c r="C4134" s="1" t="n">
        <v>45586</v>
      </c>
      <c r="D4134" t="inlineStr">
        <is>
          <t>VÄSTRA GÖTALANDS LÄN</t>
        </is>
      </c>
      <c r="E4134" t="inlineStr">
        <is>
          <t>BOLLEBYGD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44851-2020</t>
        </is>
      </c>
      <c r="B4135" s="1" t="n">
        <v>44087</v>
      </c>
      <c r="C4135" s="1" t="n">
        <v>45586</v>
      </c>
      <c r="D4135" t="inlineStr">
        <is>
          <t>VÄSTRA GÖTALANDS LÄN</t>
        </is>
      </c>
      <c r="E4135" t="inlineStr">
        <is>
          <t>VARA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44873-2020</t>
        </is>
      </c>
      <c r="B4136" s="1" t="n">
        <v>44087</v>
      </c>
      <c r="C4136" s="1" t="n">
        <v>45586</v>
      </c>
      <c r="D4136" t="inlineStr">
        <is>
          <t>VÄSTRA GÖTALANDS LÄN</t>
        </is>
      </c>
      <c r="E4136" t="inlineStr">
        <is>
          <t>BOLLEBYGD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45059-2020</t>
        </is>
      </c>
      <c r="B4137" s="1" t="n">
        <v>44088</v>
      </c>
      <c r="C4137" s="1" t="n">
        <v>45586</v>
      </c>
      <c r="D4137" t="inlineStr">
        <is>
          <t>VÄSTRA GÖTALANDS LÄN</t>
        </is>
      </c>
      <c r="E4137" t="inlineStr">
        <is>
          <t>FÄRGELANDA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45195-2020</t>
        </is>
      </c>
      <c r="B4138" s="1" t="n">
        <v>44088</v>
      </c>
      <c r="C4138" s="1" t="n">
        <v>45586</v>
      </c>
      <c r="D4138" t="inlineStr">
        <is>
          <t>VÄSTRA GÖTALANDS LÄN</t>
        </is>
      </c>
      <c r="E4138" t="inlineStr">
        <is>
          <t>TJÖRN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44943-2020</t>
        </is>
      </c>
      <c r="B4139" s="1" t="n">
        <v>44088</v>
      </c>
      <c r="C4139" s="1" t="n">
        <v>45586</v>
      </c>
      <c r="D4139" t="inlineStr">
        <is>
          <t>VÄSTRA GÖTALANDS LÄN</t>
        </is>
      </c>
      <c r="E4139" t="inlineStr">
        <is>
          <t>BORÅS</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45046-2020</t>
        </is>
      </c>
      <c r="B4140" s="1" t="n">
        <v>44088</v>
      </c>
      <c r="C4140" s="1" t="n">
        <v>45586</v>
      </c>
      <c r="D4140" t="inlineStr">
        <is>
          <t>VÄSTRA GÖTALANDS LÄN</t>
        </is>
      </c>
      <c r="E4140" t="inlineStr">
        <is>
          <t>BOLLEBYGD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45047-2020</t>
        </is>
      </c>
      <c r="B4141" s="1" t="n">
        <v>44088</v>
      </c>
      <c r="C4141" s="1" t="n">
        <v>45586</v>
      </c>
      <c r="D4141" t="inlineStr">
        <is>
          <t>VÄSTRA GÖTALANDS LÄN</t>
        </is>
      </c>
      <c r="E4141" t="inlineStr">
        <is>
          <t>ULRICEHAMN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45072-2020</t>
        </is>
      </c>
      <c r="B4142" s="1" t="n">
        <v>44088</v>
      </c>
      <c r="C4142" s="1" t="n">
        <v>45586</v>
      </c>
      <c r="D4142" t="inlineStr">
        <is>
          <t>VÄSTRA GÖTALANDS LÄN</t>
        </is>
      </c>
      <c r="E4142" t="inlineStr">
        <is>
          <t>MARIESTAD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45150-2020</t>
        </is>
      </c>
      <c r="B4143" s="1" t="n">
        <v>44088</v>
      </c>
      <c r="C4143" s="1" t="n">
        <v>45586</v>
      </c>
      <c r="D4143" t="inlineStr">
        <is>
          <t>VÄSTRA GÖTALANDS LÄN</t>
        </is>
      </c>
      <c r="E4143" t="inlineStr">
        <is>
          <t>LIDKÖPING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45197-2020</t>
        </is>
      </c>
      <c r="B4144" s="1" t="n">
        <v>44088</v>
      </c>
      <c r="C4144" s="1" t="n">
        <v>45586</v>
      </c>
      <c r="D4144" t="inlineStr">
        <is>
          <t>VÄSTRA GÖTALANDS LÄN</t>
        </is>
      </c>
      <c r="E4144" t="inlineStr">
        <is>
          <t>TJÖRN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45188-2020</t>
        </is>
      </c>
      <c r="B4145" s="1" t="n">
        <v>44088</v>
      </c>
      <c r="C4145" s="1" t="n">
        <v>45586</v>
      </c>
      <c r="D4145" t="inlineStr">
        <is>
          <t>VÄSTRA GÖTALANDS LÄN</t>
        </is>
      </c>
      <c r="E4145" t="inlineStr">
        <is>
          <t>SKÖVDE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45236-2020</t>
        </is>
      </c>
      <c r="B4146" s="1" t="n">
        <v>44088</v>
      </c>
      <c r="C4146" s="1" t="n">
        <v>45586</v>
      </c>
      <c r="D4146" t="inlineStr">
        <is>
          <t>VÄSTRA GÖTALANDS LÄN</t>
        </is>
      </c>
      <c r="E4146" t="inlineStr">
        <is>
          <t>VARA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45057-2020</t>
        </is>
      </c>
      <c r="B4147" s="1" t="n">
        <v>44088</v>
      </c>
      <c r="C4147" s="1" t="n">
        <v>45586</v>
      </c>
      <c r="D4147" t="inlineStr">
        <is>
          <t>VÄSTRA GÖTALANDS LÄN</t>
        </is>
      </c>
      <c r="E4147" t="inlineStr">
        <is>
          <t>FÄRGELANDA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45039-2020</t>
        </is>
      </c>
      <c r="B4148" s="1" t="n">
        <v>44088</v>
      </c>
      <c r="C4148" s="1" t="n">
        <v>45586</v>
      </c>
      <c r="D4148" t="inlineStr">
        <is>
          <t>VÄSTRA GÖTALANDS LÄN</t>
        </is>
      </c>
      <c r="E4148" t="inlineStr">
        <is>
          <t>MARIESTAD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45926-2020</t>
        </is>
      </c>
      <c r="B4149" s="1" t="n">
        <v>44088</v>
      </c>
      <c r="C4149" s="1" t="n">
        <v>45586</v>
      </c>
      <c r="D4149" t="inlineStr">
        <is>
          <t>VÄSTRA GÖTALANDS LÄN</t>
        </is>
      </c>
      <c r="E4149" t="inlineStr">
        <is>
          <t>TROLLHÄTTAN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45330-2020</t>
        </is>
      </c>
      <c r="B4150" s="1" t="n">
        <v>44089</v>
      </c>
      <c r="C4150" s="1" t="n">
        <v>45586</v>
      </c>
      <c r="D4150" t="inlineStr">
        <is>
          <t>VÄSTRA GÖTALANDS LÄN</t>
        </is>
      </c>
      <c r="E4150" t="inlineStr">
        <is>
          <t>FALKÖPING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45472-2020</t>
        </is>
      </c>
      <c r="B4151" s="1" t="n">
        <v>44089</v>
      </c>
      <c r="C4151" s="1" t="n">
        <v>45586</v>
      </c>
      <c r="D4151" t="inlineStr">
        <is>
          <t>VÄSTRA GÖTALANDS LÄN</t>
        </is>
      </c>
      <c r="E4151" t="inlineStr">
        <is>
          <t>KARLSBORG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45372-2020</t>
        </is>
      </c>
      <c r="B4152" s="1" t="n">
        <v>44089</v>
      </c>
      <c r="C4152" s="1" t="n">
        <v>45586</v>
      </c>
      <c r="D4152" t="inlineStr">
        <is>
          <t>VÄSTRA GÖTALANDS LÄN</t>
        </is>
      </c>
      <c r="E4152" t="inlineStr">
        <is>
          <t>SVENLJUNGA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45396-2020</t>
        </is>
      </c>
      <c r="B4153" s="1" t="n">
        <v>44089</v>
      </c>
      <c r="C4153" s="1" t="n">
        <v>45586</v>
      </c>
      <c r="D4153" t="inlineStr">
        <is>
          <t>VÄSTRA GÖTALANDS LÄN</t>
        </is>
      </c>
      <c r="E4153" t="inlineStr">
        <is>
          <t>GRÄSTORP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46653-2020</t>
        </is>
      </c>
      <c r="B4154" s="1" t="n">
        <v>44089</v>
      </c>
      <c r="C4154" s="1" t="n">
        <v>45586</v>
      </c>
      <c r="D4154" t="inlineStr">
        <is>
          <t>VÄSTRA GÖTALANDS LÄN</t>
        </is>
      </c>
      <c r="E4154" t="inlineStr">
        <is>
          <t>ULRICEHAMN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45413-2020</t>
        </is>
      </c>
      <c r="B4155" s="1" t="n">
        <v>44089</v>
      </c>
      <c r="C4155" s="1" t="n">
        <v>45586</v>
      </c>
      <c r="D4155" t="inlineStr">
        <is>
          <t>VÄSTRA GÖTALANDS LÄN</t>
        </is>
      </c>
      <c r="E4155" t="inlineStr">
        <is>
          <t>SKARA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45475-2020</t>
        </is>
      </c>
      <c r="B4156" s="1" t="n">
        <v>44089</v>
      </c>
      <c r="C4156" s="1" t="n">
        <v>45586</v>
      </c>
      <c r="D4156" t="inlineStr">
        <is>
          <t>VÄSTRA GÖTALANDS LÄN</t>
        </is>
      </c>
      <c r="E4156" t="inlineStr">
        <is>
          <t>KARLSBORG</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46668-2020</t>
        </is>
      </c>
      <c r="B4157" s="1" t="n">
        <v>44089</v>
      </c>
      <c r="C4157" s="1" t="n">
        <v>45586</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46644-2020</t>
        </is>
      </c>
      <c r="B4158" s="1" t="n">
        <v>44089</v>
      </c>
      <c r="C4158" s="1" t="n">
        <v>45586</v>
      </c>
      <c r="D4158" t="inlineStr">
        <is>
          <t>VÄSTRA GÖTALANDS LÄN</t>
        </is>
      </c>
      <c r="E4158" t="inlineStr">
        <is>
          <t>FALKÖPING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45458-2020</t>
        </is>
      </c>
      <c r="B4159" s="1" t="n">
        <v>44089</v>
      </c>
      <c r="C4159" s="1" t="n">
        <v>45586</v>
      </c>
      <c r="D4159" t="inlineStr">
        <is>
          <t>VÄSTRA GÖTALANDS LÄN</t>
        </is>
      </c>
      <c r="E4159" t="inlineStr">
        <is>
          <t>TÖREBODA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46650-2020</t>
        </is>
      </c>
      <c r="B4160" s="1" t="n">
        <v>44089</v>
      </c>
      <c r="C4160" s="1" t="n">
        <v>45586</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46669-2020</t>
        </is>
      </c>
      <c r="B4161" s="1" t="n">
        <v>44089</v>
      </c>
      <c r="C4161" s="1" t="n">
        <v>45586</v>
      </c>
      <c r="D4161" t="inlineStr">
        <is>
          <t>VÄSTRA GÖTALANDS LÄN</t>
        </is>
      </c>
      <c r="E4161" t="inlineStr">
        <is>
          <t>FALKÖPING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46642-2020</t>
        </is>
      </c>
      <c r="B4162" s="1" t="n">
        <v>44089</v>
      </c>
      <c r="C4162" s="1" t="n">
        <v>45586</v>
      </c>
      <c r="D4162" t="inlineStr">
        <is>
          <t>VÄSTRA GÖTALANDS LÄN</t>
        </is>
      </c>
      <c r="E4162" t="inlineStr">
        <is>
          <t>FALKÖPING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46677-2020</t>
        </is>
      </c>
      <c r="B4163" s="1" t="n">
        <v>44089</v>
      </c>
      <c r="C4163" s="1" t="n">
        <v>45586</v>
      </c>
      <c r="D4163" t="inlineStr">
        <is>
          <t>VÄSTRA GÖTALANDS LÄN</t>
        </is>
      </c>
      <c r="E4163" t="inlineStr">
        <is>
          <t>TIDAHOLM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45560-2020</t>
        </is>
      </c>
      <c r="B4164" s="1" t="n">
        <v>44090</v>
      </c>
      <c r="C4164" s="1" t="n">
        <v>45586</v>
      </c>
      <c r="D4164" t="inlineStr">
        <is>
          <t>VÄSTRA GÖTALANDS LÄN</t>
        </is>
      </c>
      <c r="E4164" t="inlineStr">
        <is>
          <t>TIDAHOLM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45608-2020</t>
        </is>
      </c>
      <c r="B4165" s="1" t="n">
        <v>44090</v>
      </c>
      <c r="C4165" s="1" t="n">
        <v>45586</v>
      </c>
      <c r="D4165" t="inlineStr">
        <is>
          <t>VÄSTRA GÖTALANDS LÄN</t>
        </is>
      </c>
      <c r="E4165" t="inlineStr">
        <is>
          <t>TROLLHÄTTAN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45701-2020</t>
        </is>
      </c>
      <c r="B4166" s="1" t="n">
        <v>44090</v>
      </c>
      <c r="C4166" s="1" t="n">
        <v>45586</v>
      </c>
      <c r="D4166" t="inlineStr">
        <is>
          <t>VÄSTRA GÖTALANDS LÄN</t>
        </is>
      </c>
      <c r="E4166" t="inlineStr">
        <is>
          <t>HERRLJUNGA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45559-2020</t>
        </is>
      </c>
      <c r="B4167" s="1" t="n">
        <v>44090</v>
      </c>
      <c r="C4167" s="1" t="n">
        <v>45586</v>
      </c>
      <c r="D4167" t="inlineStr">
        <is>
          <t>VÄSTRA GÖTALANDS LÄN</t>
        </is>
      </c>
      <c r="E4167" t="inlineStr">
        <is>
          <t>TIDAHOLM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45679-2020</t>
        </is>
      </c>
      <c r="B4168" s="1" t="n">
        <v>44090</v>
      </c>
      <c r="C4168" s="1" t="n">
        <v>45586</v>
      </c>
      <c r="D4168" t="inlineStr">
        <is>
          <t>VÄSTRA GÖTALANDS LÄN</t>
        </is>
      </c>
      <c r="E4168" t="inlineStr">
        <is>
          <t>MARIESTAD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45693-2020</t>
        </is>
      </c>
      <c r="B4169" s="1" t="n">
        <v>44090</v>
      </c>
      <c r="C4169" s="1" t="n">
        <v>45586</v>
      </c>
      <c r="D4169" t="inlineStr">
        <is>
          <t>VÄSTRA GÖTALANDS LÄN</t>
        </is>
      </c>
      <c r="E4169" t="inlineStr">
        <is>
          <t>ULRICEHAMN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45761-2020</t>
        </is>
      </c>
      <c r="B4170" s="1" t="n">
        <v>44090</v>
      </c>
      <c r="C4170" s="1" t="n">
        <v>45586</v>
      </c>
      <c r="D4170" t="inlineStr">
        <is>
          <t>VÄSTRA GÖTALANDS LÄN</t>
        </is>
      </c>
      <c r="E4170" t="inlineStr">
        <is>
          <t>HERRLJUNGA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45795-2020</t>
        </is>
      </c>
      <c r="B4171" s="1" t="n">
        <v>44090</v>
      </c>
      <c r="C4171" s="1" t="n">
        <v>45586</v>
      </c>
      <c r="D4171" t="inlineStr">
        <is>
          <t>VÄSTRA GÖTALANDS LÄN</t>
        </is>
      </c>
      <c r="E4171" t="inlineStr">
        <is>
          <t>LYSEKIL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45752-2020</t>
        </is>
      </c>
      <c r="B4172" s="1" t="n">
        <v>44090</v>
      </c>
      <c r="C4172" s="1" t="n">
        <v>45586</v>
      </c>
      <c r="D4172" t="inlineStr">
        <is>
          <t>VÄSTRA GÖTALANDS LÄN</t>
        </is>
      </c>
      <c r="E4172" t="inlineStr">
        <is>
          <t>GULLSPÅNG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45763-2020</t>
        </is>
      </c>
      <c r="B4173" s="1" t="n">
        <v>44090</v>
      </c>
      <c r="C4173" s="1" t="n">
        <v>45586</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45897-2020</t>
        </is>
      </c>
      <c r="B4174" s="1" t="n">
        <v>44090</v>
      </c>
      <c r="C4174" s="1" t="n">
        <v>45586</v>
      </c>
      <c r="D4174" t="inlineStr">
        <is>
          <t>VÄSTRA GÖTALANDS LÄN</t>
        </is>
      </c>
      <c r="E4174" t="inlineStr">
        <is>
          <t>GULLSPÅNG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46024-2020</t>
        </is>
      </c>
      <c r="B4175" s="1" t="n">
        <v>44091</v>
      </c>
      <c r="C4175" s="1" t="n">
        <v>45586</v>
      </c>
      <c r="D4175" t="inlineStr">
        <is>
          <t>VÄSTRA GÖTALANDS LÄN</t>
        </is>
      </c>
      <c r="E4175" t="inlineStr">
        <is>
          <t>TROLLHÄTTAN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45962-2020</t>
        </is>
      </c>
      <c r="B4176" s="1" t="n">
        <v>44091</v>
      </c>
      <c r="C4176" s="1" t="n">
        <v>45586</v>
      </c>
      <c r="D4176" t="inlineStr">
        <is>
          <t>VÄSTRA GÖTALANDS LÄN</t>
        </is>
      </c>
      <c r="E4176" t="inlineStr">
        <is>
          <t>MARK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46005-2020</t>
        </is>
      </c>
      <c r="B4177" s="1" t="n">
        <v>44091</v>
      </c>
      <c r="C4177" s="1" t="n">
        <v>45586</v>
      </c>
      <c r="D4177" t="inlineStr">
        <is>
          <t>VÄSTRA GÖTALANDS LÄN</t>
        </is>
      </c>
      <c r="E4177" t="inlineStr">
        <is>
          <t>FALKÖPING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46186-2020</t>
        </is>
      </c>
      <c r="B4178" s="1" t="n">
        <v>44092</v>
      </c>
      <c r="C4178" s="1" t="n">
        <v>45586</v>
      </c>
      <c r="D4178" t="inlineStr">
        <is>
          <t>VÄSTRA GÖTALANDS LÄN</t>
        </is>
      </c>
      <c r="E4178" t="inlineStr">
        <is>
          <t>BENGTSFORS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46340-2020</t>
        </is>
      </c>
      <c r="B4179" s="1" t="n">
        <v>44092</v>
      </c>
      <c r="C4179" s="1" t="n">
        <v>45586</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46162-2020</t>
        </is>
      </c>
      <c r="B4180" s="1" t="n">
        <v>44092</v>
      </c>
      <c r="C4180" s="1" t="n">
        <v>45586</v>
      </c>
      <c r="D4180" t="inlineStr">
        <is>
          <t>VÄSTRA GÖTALANDS LÄN</t>
        </is>
      </c>
      <c r="E4180" t="inlineStr">
        <is>
          <t>TIDAHOLM</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46217-2020</t>
        </is>
      </c>
      <c r="B4181" s="1" t="n">
        <v>44092</v>
      </c>
      <c r="C4181" s="1" t="n">
        <v>45586</v>
      </c>
      <c r="D4181" t="inlineStr">
        <is>
          <t>VÄSTRA GÖTALANDS LÄN</t>
        </is>
      </c>
      <c r="E4181" t="inlineStr">
        <is>
          <t>TIDAHOLM</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46213-2020</t>
        </is>
      </c>
      <c r="B4182" s="1" t="n">
        <v>44092</v>
      </c>
      <c r="C4182" s="1" t="n">
        <v>45586</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46428-2020</t>
        </is>
      </c>
      <c r="B4183" s="1" t="n">
        <v>44095</v>
      </c>
      <c r="C4183" s="1" t="n">
        <v>45586</v>
      </c>
      <c r="D4183" t="inlineStr">
        <is>
          <t>VÄSTRA GÖTALANDS LÄN</t>
        </is>
      </c>
      <c r="E4183" t="inlineStr">
        <is>
          <t>BORÅS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46536-2020</t>
        </is>
      </c>
      <c r="B4184" s="1" t="n">
        <v>44095</v>
      </c>
      <c r="C4184" s="1" t="n">
        <v>45586</v>
      </c>
      <c r="D4184" t="inlineStr">
        <is>
          <t>VÄSTRA GÖTALANDS LÄN</t>
        </is>
      </c>
      <c r="E4184" t="inlineStr">
        <is>
          <t>ÅMÅL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46468-2020</t>
        </is>
      </c>
      <c r="B4185" s="1" t="n">
        <v>44095</v>
      </c>
      <c r="C4185" s="1" t="n">
        <v>45586</v>
      </c>
      <c r="D4185" t="inlineStr">
        <is>
          <t>VÄSTRA GÖTALANDS LÄN</t>
        </is>
      </c>
      <c r="E4185" t="inlineStr">
        <is>
          <t>VARA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46774-2020</t>
        </is>
      </c>
      <c r="B4186" s="1" t="n">
        <v>44095</v>
      </c>
      <c r="C4186" s="1" t="n">
        <v>45586</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47592-2020</t>
        </is>
      </c>
      <c r="B4187" s="1" t="n">
        <v>44095</v>
      </c>
      <c r="C4187" s="1" t="n">
        <v>45586</v>
      </c>
      <c r="D4187" t="inlineStr">
        <is>
          <t>VÄSTRA GÖTALANDS LÄN</t>
        </is>
      </c>
      <c r="E4187" t="inlineStr">
        <is>
          <t>LIDKÖPING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46843-2020</t>
        </is>
      </c>
      <c r="B4188" s="1" t="n">
        <v>44096</v>
      </c>
      <c r="C4188" s="1" t="n">
        <v>45586</v>
      </c>
      <c r="D4188" t="inlineStr">
        <is>
          <t>VÄSTRA GÖTALANDS LÄN</t>
        </is>
      </c>
      <c r="E4188" t="inlineStr">
        <is>
          <t>HJO</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46775-2020</t>
        </is>
      </c>
      <c r="B4189" s="1" t="n">
        <v>44096</v>
      </c>
      <c r="C4189" s="1" t="n">
        <v>45586</v>
      </c>
      <c r="D4189" t="inlineStr">
        <is>
          <t>VÄSTRA GÖTALANDS LÄN</t>
        </is>
      </c>
      <c r="E4189" t="inlineStr">
        <is>
          <t>TIDAHOLM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46863-2020</t>
        </is>
      </c>
      <c r="B4190" s="1" t="n">
        <v>44096</v>
      </c>
      <c r="C4190" s="1" t="n">
        <v>45586</v>
      </c>
      <c r="D4190" t="inlineStr">
        <is>
          <t>VÄSTRA GÖTALANDS LÄN</t>
        </is>
      </c>
      <c r="E4190" t="inlineStr">
        <is>
          <t>HJO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47028-2020</t>
        </is>
      </c>
      <c r="B4191" s="1" t="n">
        <v>44096</v>
      </c>
      <c r="C4191" s="1" t="n">
        <v>45586</v>
      </c>
      <c r="D4191" t="inlineStr">
        <is>
          <t>VÄSTRA GÖTALANDS LÄN</t>
        </is>
      </c>
      <c r="E4191" t="inlineStr">
        <is>
          <t>SKARA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47088-2020</t>
        </is>
      </c>
      <c r="B4192" s="1" t="n">
        <v>44096</v>
      </c>
      <c r="C4192" s="1" t="n">
        <v>45586</v>
      </c>
      <c r="D4192" t="inlineStr">
        <is>
          <t>VÄSTRA GÖTALANDS LÄN</t>
        </is>
      </c>
      <c r="E4192" t="inlineStr">
        <is>
          <t>TANUM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46931-2020</t>
        </is>
      </c>
      <c r="B4193" s="1" t="n">
        <v>44096</v>
      </c>
      <c r="C4193" s="1" t="n">
        <v>45586</v>
      </c>
      <c r="D4193" t="inlineStr">
        <is>
          <t>VÄSTRA GÖTALANDS LÄN</t>
        </is>
      </c>
      <c r="E4193" t="inlineStr">
        <is>
          <t>MARK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46831-2020</t>
        </is>
      </c>
      <c r="B4194" s="1" t="n">
        <v>44096</v>
      </c>
      <c r="C4194" s="1" t="n">
        <v>45586</v>
      </c>
      <c r="D4194" t="inlineStr">
        <is>
          <t>VÄSTRA GÖTALANDS LÄN</t>
        </is>
      </c>
      <c r="E4194" t="inlineStr">
        <is>
          <t>BENGTSFORS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46932-2020</t>
        </is>
      </c>
      <c r="B4195" s="1" t="n">
        <v>44096</v>
      </c>
      <c r="C4195" s="1" t="n">
        <v>45586</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46968-2020</t>
        </is>
      </c>
      <c r="B4196" s="1" t="n">
        <v>44096</v>
      </c>
      <c r="C4196" s="1" t="n">
        <v>45586</v>
      </c>
      <c r="D4196" t="inlineStr">
        <is>
          <t>VÄSTRA GÖTALANDS LÄN</t>
        </is>
      </c>
      <c r="E4196" t="inlineStr">
        <is>
          <t>BORÅS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47071-2020</t>
        </is>
      </c>
      <c r="B4197" s="1" t="n">
        <v>44096</v>
      </c>
      <c r="C4197" s="1" t="n">
        <v>45586</v>
      </c>
      <c r="D4197" t="inlineStr">
        <is>
          <t>VÄSTRA GÖTALANDS LÄN</t>
        </is>
      </c>
      <c r="E4197" t="inlineStr">
        <is>
          <t>SOTENÄS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47104-2020</t>
        </is>
      </c>
      <c r="B4198" s="1" t="n">
        <v>44096</v>
      </c>
      <c r="C4198" s="1" t="n">
        <v>45586</v>
      </c>
      <c r="D4198" t="inlineStr">
        <is>
          <t>VÄSTRA GÖTALANDS LÄN</t>
        </is>
      </c>
      <c r="E4198" t="inlineStr">
        <is>
          <t>GRÄSTORP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47739-2020</t>
        </is>
      </c>
      <c r="B4199" s="1" t="n">
        <v>44096</v>
      </c>
      <c r="C4199" s="1" t="n">
        <v>45586</v>
      </c>
      <c r="D4199" t="inlineStr">
        <is>
          <t>VÄSTRA GÖTALANDS LÄN</t>
        </is>
      </c>
      <c r="E4199" t="inlineStr">
        <is>
          <t>GULLSPÅNG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47017-2020</t>
        </is>
      </c>
      <c r="B4200" s="1" t="n">
        <v>44096</v>
      </c>
      <c r="C4200" s="1" t="n">
        <v>45586</v>
      </c>
      <c r="D4200" t="inlineStr">
        <is>
          <t>VÄSTRA GÖTALANDS LÄN</t>
        </is>
      </c>
      <c r="E4200" t="inlineStr">
        <is>
          <t>ESSUNGA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46897-2020</t>
        </is>
      </c>
      <c r="B4201" s="1" t="n">
        <v>44096</v>
      </c>
      <c r="C4201" s="1" t="n">
        <v>45586</v>
      </c>
      <c r="D4201" t="inlineStr">
        <is>
          <t>VÄSTRA GÖTALANDS LÄN</t>
        </is>
      </c>
      <c r="E4201" t="inlineStr">
        <is>
          <t>LIDKÖPING</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48300-2020</t>
        </is>
      </c>
      <c r="B4202" s="1" t="n">
        <v>44097</v>
      </c>
      <c r="C4202" s="1" t="n">
        <v>45586</v>
      </c>
      <c r="D4202" t="inlineStr">
        <is>
          <t>VÄSTRA GÖTALANDS LÄN</t>
        </is>
      </c>
      <c r="E4202" t="inlineStr">
        <is>
          <t>HERRLJUNGA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47387-2020</t>
        </is>
      </c>
      <c r="B4203" s="1" t="n">
        <v>44097</v>
      </c>
      <c r="C4203" s="1" t="n">
        <v>45586</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47410-2020</t>
        </is>
      </c>
      <c r="B4204" s="1" t="n">
        <v>44097</v>
      </c>
      <c r="C4204" s="1" t="n">
        <v>45586</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47588-2020</t>
        </is>
      </c>
      <c r="B4205" s="1" t="n">
        <v>44098</v>
      </c>
      <c r="C4205" s="1" t="n">
        <v>45586</v>
      </c>
      <c r="D4205" t="inlineStr">
        <is>
          <t>VÄSTRA GÖTALANDS LÄN</t>
        </is>
      </c>
      <c r="E4205" t="inlineStr">
        <is>
          <t>BORÅS</t>
        </is>
      </c>
      <c r="F4205" t="inlineStr">
        <is>
          <t>Kommuner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47645-2020</t>
        </is>
      </c>
      <c r="B4206" s="1" t="n">
        <v>44098</v>
      </c>
      <c r="C4206" s="1" t="n">
        <v>45586</v>
      </c>
      <c r="D4206" t="inlineStr">
        <is>
          <t>VÄSTRA GÖTALANDS LÄN</t>
        </is>
      </c>
      <c r="E4206" t="inlineStr">
        <is>
          <t>VARA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47587-2020</t>
        </is>
      </c>
      <c r="B4207" s="1" t="n">
        <v>44098</v>
      </c>
      <c r="C4207" s="1" t="n">
        <v>45586</v>
      </c>
      <c r="D4207" t="inlineStr">
        <is>
          <t>VÄSTRA GÖTALANDS LÄN</t>
        </is>
      </c>
      <c r="E4207" t="inlineStr">
        <is>
          <t>TRANEMO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47814-2020</t>
        </is>
      </c>
      <c r="B4208" s="1" t="n">
        <v>44098</v>
      </c>
      <c r="C4208" s="1" t="n">
        <v>45586</v>
      </c>
      <c r="D4208" t="inlineStr">
        <is>
          <t>VÄSTRA GÖTALANDS LÄN</t>
        </is>
      </c>
      <c r="E4208" t="inlineStr">
        <is>
          <t>LIDKÖPING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47697-2020</t>
        </is>
      </c>
      <c r="B4209" s="1" t="n">
        <v>44098</v>
      </c>
      <c r="C4209" s="1" t="n">
        <v>45586</v>
      </c>
      <c r="D4209" t="inlineStr">
        <is>
          <t>VÄSTRA GÖTALANDS LÄN</t>
        </is>
      </c>
      <c r="E4209" t="inlineStr">
        <is>
          <t>LIDKÖPING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47684-2020</t>
        </is>
      </c>
      <c r="B4210" s="1" t="n">
        <v>44098</v>
      </c>
      <c r="C4210" s="1" t="n">
        <v>45586</v>
      </c>
      <c r="D4210" t="inlineStr">
        <is>
          <t>VÄSTRA GÖTALANDS LÄN</t>
        </is>
      </c>
      <c r="E4210" t="inlineStr">
        <is>
          <t>LIDKÖPING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47759-2020</t>
        </is>
      </c>
      <c r="B4211" s="1" t="n">
        <v>44098</v>
      </c>
      <c r="C4211" s="1" t="n">
        <v>45586</v>
      </c>
      <c r="D4211" t="inlineStr">
        <is>
          <t>VÄSTRA GÖTALANDS LÄN</t>
        </is>
      </c>
      <c r="E4211" t="inlineStr">
        <is>
          <t>MELLERUD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47480-2020</t>
        </is>
      </c>
      <c r="B4212" s="1" t="n">
        <v>44098</v>
      </c>
      <c r="C4212" s="1" t="n">
        <v>45586</v>
      </c>
      <c r="D4212" t="inlineStr">
        <is>
          <t>VÄSTRA GÖTALANDS LÄN</t>
        </is>
      </c>
      <c r="E4212" t="inlineStr">
        <is>
          <t>TANUM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47888-2020</t>
        </is>
      </c>
      <c r="B4213" s="1" t="n">
        <v>44099</v>
      </c>
      <c r="C4213" s="1" t="n">
        <v>45586</v>
      </c>
      <c r="D4213" t="inlineStr">
        <is>
          <t>VÄSTRA GÖTALANDS LÄN</t>
        </is>
      </c>
      <c r="E4213" t="inlineStr">
        <is>
          <t>TROLLHÄTTAN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47900-2020</t>
        </is>
      </c>
      <c r="B4214" s="1" t="n">
        <v>44099</v>
      </c>
      <c r="C4214" s="1" t="n">
        <v>45586</v>
      </c>
      <c r="D4214" t="inlineStr">
        <is>
          <t>VÄSTRA GÖTALANDS LÄN</t>
        </is>
      </c>
      <c r="E4214" t="inlineStr">
        <is>
          <t>TJÖRN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47995-2020</t>
        </is>
      </c>
      <c r="B4215" s="1" t="n">
        <v>44099</v>
      </c>
      <c r="C4215" s="1" t="n">
        <v>45586</v>
      </c>
      <c r="D4215" t="inlineStr">
        <is>
          <t>VÄSTRA GÖTALANDS LÄN</t>
        </is>
      </c>
      <c r="E4215" t="inlineStr">
        <is>
          <t>BENGTSFORS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48754-2020</t>
        </is>
      </c>
      <c r="B4216" s="1" t="n">
        <v>44099</v>
      </c>
      <c r="C4216" s="1" t="n">
        <v>45586</v>
      </c>
      <c r="D4216" t="inlineStr">
        <is>
          <t>VÄSTRA GÖTALANDS LÄN</t>
        </is>
      </c>
      <c r="E4216" t="inlineStr">
        <is>
          <t>SKÖVDE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48008-2020</t>
        </is>
      </c>
      <c r="B4217" s="1" t="n">
        <v>44099</v>
      </c>
      <c r="C4217" s="1" t="n">
        <v>45586</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48741-2020</t>
        </is>
      </c>
      <c r="B4218" s="1" t="n">
        <v>44099</v>
      </c>
      <c r="C4218" s="1" t="n">
        <v>45586</v>
      </c>
      <c r="D4218" t="inlineStr">
        <is>
          <t>VÄSTRA GÖTALANDS LÄN</t>
        </is>
      </c>
      <c r="E4218" t="inlineStr">
        <is>
          <t>HJO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48102-2020</t>
        </is>
      </c>
      <c r="B4219" s="1" t="n">
        <v>44101</v>
      </c>
      <c r="C4219" s="1" t="n">
        <v>45586</v>
      </c>
      <c r="D4219" t="inlineStr">
        <is>
          <t>VÄSTRA GÖTALANDS LÄN</t>
        </is>
      </c>
      <c r="E4219" t="inlineStr">
        <is>
          <t>TANUM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48398-2020</t>
        </is>
      </c>
      <c r="B4220" s="1" t="n">
        <v>44102</v>
      </c>
      <c r="C4220" s="1" t="n">
        <v>45586</v>
      </c>
      <c r="D4220" t="inlineStr">
        <is>
          <t>VÄSTRA GÖTALANDS LÄN</t>
        </is>
      </c>
      <c r="E4220" t="inlineStr">
        <is>
          <t>TROLLHÄTTAN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48228-2020</t>
        </is>
      </c>
      <c r="B4221" s="1" t="n">
        <v>44102</v>
      </c>
      <c r="C4221" s="1" t="n">
        <v>45586</v>
      </c>
      <c r="D4221" t="inlineStr">
        <is>
          <t>VÄSTRA GÖTALANDS LÄN</t>
        </is>
      </c>
      <c r="E4221" t="inlineStr">
        <is>
          <t>TIBRO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48277-2020</t>
        </is>
      </c>
      <c r="B4222" s="1" t="n">
        <v>44102</v>
      </c>
      <c r="C4222" s="1" t="n">
        <v>45586</v>
      </c>
      <c r="D4222" t="inlineStr">
        <is>
          <t>VÄSTRA GÖTALANDS LÄN</t>
        </is>
      </c>
      <c r="E4222" t="inlineStr">
        <is>
          <t>TIBRO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48536-2020</t>
        </is>
      </c>
      <c r="B4223" s="1" t="n">
        <v>44103</v>
      </c>
      <c r="C4223" s="1" t="n">
        <v>45586</v>
      </c>
      <c r="D4223" t="inlineStr">
        <is>
          <t>VÄSTRA GÖTALANDS LÄN</t>
        </is>
      </c>
      <c r="E4223" t="inlineStr">
        <is>
          <t>ÅMÅL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48600-2020</t>
        </is>
      </c>
      <c r="B4224" s="1" t="n">
        <v>44103</v>
      </c>
      <c r="C4224" s="1" t="n">
        <v>45586</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48554-2020</t>
        </is>
      </c>
      <c r="B4225" s="1" t="n">
        <v>44103</v>
      </c>
      <c r="C4225" s="1" t="n">
        <v>45586</v>
      </c>
      <c r="D4225" t="inlineStr">
        <is>
          <t>VÄSTRA GÖTALANDS LÄN</t>
        </is>
      </c>
      <c r="E4225" t="inlineStr">
        <is>
          <t>ÅMÅL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48545-2020</t>
        </is>
      </c>
      <c r="B4226" s="1" t="n">
        <v>44103</v>
      </c>
      <c r="C4226" s="1" t="n">
        <v>45586</v>
      </c>
      <c r="D4226" t="inlineStr">
        <is>
          <t>VÄSTRA GÖTALANDS LÄN</t>
        </is>
      </c>
      <c r="E4226" t="inlineStr">
        <is>
          <t>BORÅS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48564-2020</t>
        </is>
      </c>
      <c r="B4227" s="1" t="n">
        <v>44103</v>
      </c>
      <c r="C4227" s="1" t="n">
        <v>45586</v>
      </c>
      <c r="D4227" t="inlineStr">
        <is>
          <t>VÄSTRA GÖTALANDS LÄN</t>
        </is>
      </c>
      <c r="E4227" t="inlineStr">
        <is>
          <t>ÅMÅL</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48601-2020</t>
        </is>
      </c>
      <c r="B4228" s="1" t="n">
        <v>44103</v>
      </c>
      <c r="C4228" s="1" t="n">
        <v>45586</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48785-2020</t>
        </is>
      </c>
      <c r="B4229" s="1" t="n">
        <v>44103</v>
      </c>
      <c r="C4229" s="1" t="n">
        <v>45586</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48791-2020</t>
        </is>
      </c>
      <c r="B4230" s="1" t="n">
        <v>44103</v>
      </c>
      <c r="C4230" s="1" t="n">
        <v>45586</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48815-2020</t>
        </is>
      </c>
      <c r="B4231" s="1" t="n">
        <v>44103</v>
      </c>
      <c r="C4231" s="1" t="n">
        <v>45586</v>
      </c>
      <c r="D4231" t="inlineStr">
        <is>
          <t>VÄSTRA GÖTALANDS LÄN</t>
        </is>
      </c>
      <c r="E4231" t="inlineStr">
        <is>
          <t>TANUM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48795-2020</t>
        </is>
      </c>
      <c r="B4232" s="1" t="n">
        <v>44103</v>
      </c>
      <c r="C4232" s="1" t="n">
        <v>45586</v>
      </c>
      <c r="D4232" t="inlineStr">
        <is>
          <t>VÄSTRA GÖTALANDS LÄN</t>
        </is>
      </c>
      <c r="E4232" t="inlineStr">
        <is>
          <t>TIBRO</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48903-2020</t>
        </is>
      </c>
      <c r="B4233" s="1" t="n">
        <v>44104</v>
      </c>
      <c r="C4233" s="1" t="n">
        <v>45586</v>
      </c>
      <c r="D4233" t="inlineStr">
        <is>
          <t>VÄSTRA GÖTALANDS LÄN</t>
        </is>
      </c>
      <c r="E4233" t="inlineStr">
        <is>
          <t>SKARA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50024-2020</t>
        </is>
      </c>
      <c r="B4234" s="1" t="n">
        <v>44104</v>
      </c>
      <c r="C4234" s="1" t="n">
        <v>45586</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49098-2020</t>
        </is>
      </c>
      <c r="B4235" s="1" t="n">
        <v>44104</v>
      </c>
      <c r="C4235" s="1" t="n">
        <v>45586</v>
      </c>
      <c r="D4235" t="inlineStr">
        <is>
          <t>VÄSTRA GÖTALANDS LÄN</t>
        </is>
      </c>
      <c r="E4235" t="inlineStr">
        <is>
          <t>MUNKEDAL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50020-2020</t>
        </is>
      </c>
      <c r="B4236" s="1" t="n">
        <v>44104</v>
      </c>
      <c r="C4236" s="1" t="n">
        <v>45586</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48962-2020</t>
        </is>
      </c>
      <c r="B4237" s="1" t="n">
        <v>44104</v>
      </c>
      <c r="C4237" s="1" t="n">
        <v>45586</v>
      </c>
      <c r="D4237" t="inlineStr">
        <is>
          <t>VÄSTRA GÖTALANDS LÄN</t>
        </is>
      </c>
      <c r="E4237" t="inlineStr">
        <is>
          <t>TRANEMO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48932-2020</t>
        </is>
      </c>
      <c r="B4238" s="1" t="n">
        <v>44104</v>
      </c>
      <c r="C4238" s="1" t="n">
        <v>45586</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50483-2020</t>
        </is>
      </c>
      <c r="B4239" s="1" t="n">
        <v>44104</v>
      </c>
      <c r="C4239" s="1" t="n">
        <v>45586</v>
      </c>
      <c r="D4239" t="inlineStr">
        <is>
          <t>VÄSTRA GÖTALANDS LÄN</t>
        </is>
      </c>
      <c r="E4239" t="inlineStr">
        <is>
          <t>UDDEVALLA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49079-2020</t>
        </is>
      </c>
      <c r="B4240" s="1" t="n">
        <v>44104</v>
      </c>
      <c r="C4240" s="1" t="n">
        <v>45586</v>
      </c>
      <c r="D4240" t="inlineStr">
        <is>
          <t>VÄSTRA GÖTALANDS LÄN</t>
        </is>
      </c>
      <c r="E4240" t="inlineStr">
        <is>
          <t>TANUM</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49146-2020</t>
        </is>
      </c>
      <c r="B4241" s="1" t="n">
        <v>44104</v>
      </c>
      <c r="C4241" s="1" t="n">
        <v>45586</v>
      </c>
      <c r="D4241" t="inlineStr">
        <is>
          <t>VÄSTRA GÖTALANDS LÄN</t>
        </is>
      </c>
      <c r="E4241" t="inlineStr">
        <is>
          <t>TANUM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49195-2020</t>
        </is>
      </c>
      <c r="B4242" s="1" t="n">
        <v>44105</v>
      </c>
      <c r="C4242" s="1" t="n">
        <v>45586</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49287-2020</t>
        </is>
      </c>
      <c r="B4243" s="1" t="n">
        <v>44105</v>
      </c>
      <c r="C4243" s="1" t="n">
        <v>45586</v>
      </c>
      <c r="D4243" t="inlineStr">
        <is>
          <t>VÄSTRA GÖTALANDS LÄN</t>
        </is>
      </c>
      <c r="E4243" t="inlineStr">
        <is>
          <t>ALINGSÅS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49344-2020</t>
        </is>
      </c>
      <c r="B4244" s="1" t="n">
        <v>44105</v>
      </c>
      <c r="C4244" s="1" t="n">
        <v>45586</v>
      </c>
      <c r="D4244" t="inlineStr">
        <is>
          <t>VÄSTRA GÖTALANDS LÄN</t>
        </is>
      </c>
      <c r="E4244" t="inlineStr">
        <is>
          <t>HÄRRYDA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49376-2020</t>
        </is>
      </c>
      <c r="B4245" s="1" t="n">
        <v>44105</v>
      </c>
      <c r="C4245" s="1" t="n">
        <v>45586</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49392-2020</t>
        </is>
      </c>
      <c r="B4246" s="1" t="n">
        <v>44105</v>
      </c>
      <c r="C4246" s="1" t="n">
        <v>45586</v>
      </c>
      <c r="D4246" t="inlineStr">
        <is>
          <t>VÄSTRA GÖTALANDS LÄN</t>
        </is>
      </c>
      <c r="E4246" t="inlineStr">
        <is>
          <t>BORÅS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49193-2020</t>
        </is>
      </c>
      <c r="B4247" s="1" t="n">
        <v>44105</v>
      </c>
      <c r="C4247" s="1" t="n">
        <v>45586</v>
      </c>
      <c r="D4247" t="inlineStr">
        <is>
          <t>VÄSTRA GÖTALANDS LÄN</t>
        </is>
      </c>
      <c r="E4247" t="inlineStr">
        <is>
          <t>ÅMÅL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49237-2020</t>
        </is>
      </c>
      <c r="B4248" s="1" t="n">
        <v>44105</v>
      </c>
      <c r="C4248" s="1" t="n">
        <v>45586</v>
      </c>
      <c r="D4248" t="inlineStr">
        <is>
          <t>VÄSTRA GÖTALANDS LÄN</t>
        </is>
      </c>
      <c r="E4248" t="inlineStr">
        <is>
          <t>MARIESTAD</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49284-2020</t>
        </is>
      </c>
      <c r="B4249" s="1" t="n">
        <v>44105</v>
      </c>
      <c r="C4249" s="1" t="n">
        <v>45586</v>
      </c>
      <c r="D4249" t="inlineStr">
        <is>
          <t>VÄSTRA GÖTALANDS LÄN</t>
        </is>
      </c>
      <c r="E4249" t="inlineStr">
        <is>
          <t>MARK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49333-2020</t>
        </is>
      </c>
      <c r="B4250" s="1" t="n">
        <v>44105</v>
      </c>
      <c r="C4250" s="1" t="n">
        <v>45586</v>
      </c>
      <c r="D4250" t="inlineStr">
        <is>
          <t>VÄSTRA GÖTALANDS LÄN</t>
        </is>
      </c>
      <c r="E4250" t="inlineStr">
        <is>
          <t>HÄRRYDA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49374-2020</t>
        </is>
      </c>
      <c r="B4251" s="1" t="n">
        <v>44105</v>
      </c>
      <c r="C4251" s="1" t="n">
        <v>45586</v>
      </c>
      <c r="D4251" t="inlineStr">
        <is>
          <t>VÄSTRA GÖTALANDS LÄN</t>
        </is>
      </c>
      <c r="E4251" t="inlineStr">
        <is>
          <t>TJÖRN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49396-2020</t>
        </is>
      </c>
      <c r="B4252" s="1" t="n">
        <v>44105</v>
      </c>
      <c r="C4252" s="1" t="n">
        <v>45586</v>
      </c>
      <c r="D4252" t="inlineStr">
        <is>
          <t>VÄSTRA GÖTALANDS LÄN</t>
        </is>
      </c>
      <c r="E4252" t="inlineStr">
        <is>
          <t>ÅMÅL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49416-2020</t>
        </is>
      </c>
      <c r="B4253" s="1" t="n">
        <v>44105</v>
      </c>
      <c r="C4253" s="1" t="n">
        <v>45586</v>
      </c>
      <c r="D4253" t="inlineStr">
        <is>
          <t>VÄSTRA GÖTALANDS LÄN</t>
        </is>
      </c>
      <c r="E4253" t="inlineStr">
        <is>
          <t>KARLSBORG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49295-2020</t>
        </is>
      </c>
      <c r="B4254" s="1" t="n">
        <v>44105</v>
      </c>
      <c r="C4254" s="1" t="n">
        <v>45586</v>
      </c>
      <c r="D4254" t="inlineStr">
        <is>
          <t>VÄSTRA GÖTALANDS LÄN</t>
        </is>
      </c>
      <c r="E4254" t="inlineStr">
        <is>
          <t>BENGTSFORS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49393-2020</t>
        </is>
      </c>
      <c r="B4255" s="1" t="n">
        <v>44105</v>
      </c>
      <c r="C4255" s="1" t="n">
        <v>45586</v>
      </c>
      <c r="D4255" t="inlineStr">
        <is>
          <t>VÄSTRA GÖTALANDS LÄN</t>
        </is>
      </c>
      <c r="E4255" t="inlineStr">
        <is>
          <t>BORÅS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49427-2020</t>
        </is>
      </c>
      <c r="B4256" s="1" t="n">
        <v>44105</v>
      </c>
      <c r="C4256" s="1" t="n">
        <v>45586</v>
      </c>
      <c r="D4256" t="inlineStr">
        <is>
          <t>VÄSTRA GÖTALANDS LÄN</t>
        </is>
      </c>
      <c r="E4256" t="inlineStr">
        <is>
          <t>MUNKEDAL</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50521-2020</t>
        </is>
      </c>
      <c r="B4257" s="1" t="n">
        <v>44105</v>
      </c>
      <c r="C4257" s="1" t="n">
        <v>45586</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50767-2020</t>
        </is>
      </c>
      <c r="B4258" s="1" t="n">
        <v>44105</v>
      </c>
      <c r="C4258" s="1" t="n">
        <v>45586</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50335-2020</t>
        </is>
      </c>
      <c r="B4259" s="1" t="n">
        <v>44105</v>
      </c>
      <c r="C4259" s="1" t="n">
        <v>45586</v>
      </c>
      <c r="D4259" t="inlineStr">
        <is>
          <t>VÄSTRA GÖTALANDS LÄN</t>
        </is>
      </c>
      <c r="E4259" t="inlineStr">
        <is>
          <t>FALKÖPING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50525-2020</t>
        </is>
      </c>
      <c r="B4260" s="1" t="n">
        <v>44105</v>
      </c>
      <c r="C4260" s="1" t="n">
        <v>45586</v>
      </c>
      <c r="D4260" t="inlineStr">
        <is>
          <t>VÄSTRA GÖTALANDS LÄN</t>
        </is>
      </c>
      <c r="E4260" t="inlineStr">
        <is>
          <t>ULRICEHAMN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50823-2020</t>
        </is>
      </c>
      <c r="B4261" s="1" t="n">
        <v>44105</v>
      </c>
      <c r="C4261" s="1" t="n">
        <v>45586</v>
      </c>
      <c r="D4261" t="inlineStr">
        <is>
          <t>VÄSTRA GÖTALANDS LÄN</t>
        </is>
      </c>
      <c r="E4261" t="inlineStr">
        <is>
          <t>GULLSPÅNG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50514-2020</t>
        </is>
      </c>
      <c r="B4262" s="1" t="n">
        <v>44105</v>
      </c>
      <c r="C4262" s="1" t="n">
        <v>45586</v>
      </c>
      <c r="D4262" t="inlineStr">
        <is>
          <t>VÄSTRA GÖTALANDS LÄN</t>
        </is>
      </c>
      <c r="E4262" t="inlineStr">
        <is>
          <t>HERRLJUNGA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50844-2020</t>
        </is>
      </c>
      <c r="B4263" s="1" t="n">
        <v>44105</v>
      </c>
      <c r="C4263" s="1" t="n">
        <v>45586</v>
      </c>
      <c r="D4263" t="inlineStr">
        <is>
          <t>VÄSTRA GÖTALANDS LÄN</t>
        </is>
      </c>
      <c r="E4263" t="inlineStr">
        <is>
          <t>MELLERUD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49605-2020</t>
        </is>
      </c>
      <c r="B4264" s="1" t="n">
        <v>44106</v>
      </c>
      <c r="C4264" s="1" t="n">
        <v>45586</v>
      </c>
      <c r="D4264" t="inlineStr">
        <is>
          <t>VÄSTRA GÖTALANDS LÄN</t>
        </is>
      </c>
      <c r="E4264" t="inlineStr">
        <is>
          <t>TRANEMO</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49566-2020</t>
        </is>
      </c>
      <c r="B4265" s="1" t="n">
        <v>44106</v>
      </c>
      <c r="C4265" s="1" t="n">
        <v>45586</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49644-2020</t>
        </is>
      </c>
      <c r="B4266" s="1" t="n">
        <v>44106</v>
      </c>
      <c r="C4266" s="1" t="n">
        <v>45586</v>
      </c>
      <c r="D4266" t="inlineStr">
        <is>
          <t>VÄSTRA GÖTALANDS LÄN</t>
        </is>
      </c>
      <c r="E4266" t="inlineStr">
        <is>
          <t>MARIESTAD</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49688-2020</t>
        </is>
      </c>
      <c r="B4267" s="1" t="n">
        <v>44106</v>
      </c>
      <c r="C4267" s="1" t="n">
        <v>45586</v>
      </c>
      <c r="D4267" t="inlineStr">
        <is>
          <t>VÄSTRA GÖTALANDS LÄN</t>
        </is>
      </c>
      <c r="E4267" t="inlineStr">
        <is>
          <t>VÅRGÅRDA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49706-2020</t>
        </is>
      </c>
      <c r="B4268" s="1" t="n">
        <v>44106</v>
      </c>
      <c r="C4268" s="1" t="n">
        <v>45586</v>
      </c>
      <c r="D4268" t="inlineStr">
        <is>
          <t>VÄSTRA GÖTALANDS LÄN</t>
        </is>
      </c>
      <c r="E4268" t="inlineStr">
        <is>
          <t>MARIESTAD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49570-2020</t>
        </is>
      </c>
      <c r="B4269" s="1" t="n">
        <v>44106</v>
      </c>
      <c r="C4269" s="1" t="n">
        <v>45586</v>
      </c>
      <c r="D4269" t="inlineStr">
        <is>
          <t>VÄSTRA GÖTALANDS LÄN</t>
        </is>
      </c>
      <c r="E4269" t="inlineStr">
        <is>
          <t>UDDEVALLA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49646-2020</t>
        </is>
      </c>
      <c r="B4270" s="1" t="n">
        <v>44106</v>
      </c>
      <c r="C4270" s="1" t="n">
        <v>45586</v>
      </c>
      <c r="D4270" t="inlineStr">
        <is>
          <t>VÄSTRA GÖTALANDS LÄN</t>
        </is>
      </c>
      <c r="E4270" t="inlineStr">
        <is>
          <t>MARIESTAD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49751-2020</t>
        </is>
      </c>
      <c r="B4271" s="1" t="n">
        <v>44106</v>
      </c>
      <c r="C4271" s="1" t="n">
        <v>45586</v>
      </c>
      <c r="D4271" t="inlineStr">
        <is>
          <t>VÄSTRA GÖTALANDS LÄN</t>
        </is>
      </c>
      <c r="E4271" t="inlineStr">
        <is>
          <t>MARK</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49560-2020</t>
        </is>
      </c>
      <c r="B4272" s="1" t="n">
        <v>44106</v>
      </c>
      <c r="C4272" s="1" t="n">
        <v>45586</v>
      </c>
      <c r="D4272" t="inlineStr">
        <is>
          <t>VÄSTRA GÖTALANDS LÄN</t>
        </is>
      </c>
      <c r="E4272" t="inlineStr">
        <is>
          <t>UDDEVALLA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49621-2020</t>
        </is>
      </c>
      <c r="B4273" s="1" t="n">
        <v>44106</v>
      </c>
      <c r="C4273" s="1" t="n">
        <v>45586</v>
      </c>
      <c r="D4273" t="inlineStr">
        <is>
          <t>VÄSTRA GÖTALANDS LÄN</t>
        </is>
      </c>
      <c r="E4273" t="inlineStr">
        <is>
          <t>HJO</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49715-2020</t>
        </is>
      </c>
      <c r="B4274" s="1" t="n">
        <v>44106</v>
      </c>
      <c r="C4274" s="1" t="n">
        <v>45586</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49790-2020</t>
        </is>
      </c>
      <c r="B4275" s="1" t="n">
        <v>44106</v>
      </c>
      <c r="C4275" s="1" t="n">
        <v>45586</v>
      </c>
      <c r="D4275" t="inlineStr">
        <is>
          <t>VÄSTRA GÖTALANDS LÄN</t>
        </is>
      </c>
      <c r="E4275" t="inlineStr">
        <is>
          <t>VARA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49780-2020</t>
        </is>
      </c>
      <c r="B4276" s="1" t="n">
        <v>44106</v>
      </c>
      <c r="C4276" s="1" t="n">
        <v>45586</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49831-2020</t>
        </is>
      </c>
      <c r="B4277" s="1" t="n">
        <v>44106</v>
      </c>
      <c r="C4277" s="1" t="n">
        <v>45586</v>
      </c>
      <c r="D4277" t="inlineStr">
        <is>
          <t>VÄSTRA GÖTALANDS LÄN</t>
        </is>
      </c>
      <c r="E4277" t="inlineStr">
        <is>
          <t>FALKÖPING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51150-2020</t>
        </is>
      </c>
      <c r="B4278" s="1" t="n">
        <v>44106</v>
      </c>
      <c r="C4278" s="1" t="n">
        <v>45586</v>
      </c>
      <c r="D4278" t="inlineStr">
        <is>
          <t>VÄSTRA GÖTALANDS LÄN</t>
        </is>
      </c>
      <c r="E4278" t="inlineStr">
        <is>
          <t>MARIESTAD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51078-2020</t>
        </is>
      </c>
      <c r="B4279" s="1" t="n">
        <v>44106</v>
      </c>
      <c r="C4279" s="1" t="n">
        <v>45586</v>
      </c>
      <c r="D4279" t="inlineStr">
        <is>
          <t>VÄSTRA GÖTALANDS LÄN</t>
        </is>
      </c>
      <c r="E4279" t="inlineStr">
        <is>
          <t>TANUM</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51231-2020</t>
        </is>
      </c>
      <c r="B4280" s="1" t="n">
        <v>44106</v>
      </c>
      <c r="C4280" s="1" t="n">
        <v>45586</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51258-2020</t>
        </is>
      </c>
      <c r="B4281" s="1" t="n">
        <v>44106</v>
      </c>
      <c r="C4281" s="1" t="n">
        <v>45586</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51248-2020</t>
        </is>
      </c>
      <c r="B4282" s="1" t="n">
        <v>44106</v>
      </c>
      <c r="C4282" s="1" t="n">
        <v>45586</v>
      </c>
      <c r="D4282" t="inlineStr">
        <is>
          <t>VÄSTRA GÖTALANDS LÄN</t>
        </is>
      </c>
      <c r="E4282" t="inlineStr">
        <is>
          <t>TÖREBODA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51266-2020</t>
        </is>
      </c>
      <c r="B4283" s="1" t="n">
        <v>44106</v>
      </c>
      <c r="C4283" s="1" t="n">
        <v>45586</v>
      </c>
      <c r="D4283" t="inlineStr">
        <is>
          <t>VÄSTRA GÖTALANDS LÄN</t>
        </is>
      </c>
      <c r="E4283" t="inlineStr">
        <is>
          <t>MARIESTAD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51143-2020</t>
        </is>
      </c>
      <c r="B4284" s="1" t="n">
        <v>44106</v>
      </c>
      <c r="C4284" s="1" t="n">
        <v>45586</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51235-2020</t>
        </is>
      </c>
      <c r="B4285" s="1" t="n">
        <v>44106</v>
      </c>
      <c r="C4285" s="1" t="n">
        <v>45586</v>
      </c>
      <c r="D4285" t="inlineStr">
        <is>
          <t>VÄSTRA GÖTALANDS LÄN</t>
        </is>
      </c>
      <c r="E4285" t="inlineStr">
        <is>
          <t>TÖREBODA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49855-2020</t>
        </is>
      </c>
      <c r="B4286" s="1" t="n">
        <v>44107</v>
      </c>
      <c r="C4286" s="1" t="n">
        <v>45586</v>
      </c>
      <c r="D4286" t="inlineStr">
        <is>
          <t>VÄSTRA GÖTALANDS LÄN</t>
        </is>
      </c>
      <c r="E4286" t="inlineStr">
        <is>
          <t>ESSUNGA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50118-2020</t>
        </is>
      </c>
      <c r="B4287" s="1" t="n">
        <v>44109</v>
      </c>
      <c r="C4287" s="1" t="n">
        <v>45586</v>
      </c>
      <c r="D4287" t="inlineStr">
        <is>
          <t>VÄSTRA GÖTALANDS LÄN</t>
        </is>
      </c>
      <c r="E4287" t="inlineStr">
        <is>
          <t>DALS-ED</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50227-2020</t>
        </is>
      </c>
      <c r="B4288" s="1" t="n">
        <v>44109</v>
      </c>
      <c r="C4288" s="1" t="n">
        <v>45586</v>
      </c>
      <c r="D4288" t="inlineStr">
        <is>
          <t>VÄSTRA GÖTALANDS LÄN</t>
        </is>
      </c>
      <c r="E4288" t="inlineStr">
        <is>
          <t>MELLERUD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50006-2020</t>
        </is>
      </c>
      <c r="B4289" s="1" t="n">
        <v>44109</v>
      </c>
      <c r="C4289" s="1" t="n">
        <v>45586</v>
      </c>
      <c r="D4289" t="inlineStr">
        <is>
          <t>VÄSTRA GÖTALANDS LÄN</t>
        </is>
      </c>
      <c r="E4289" t="inlineStr">
        <is>
          <t>FÄRGELANDA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50064-2020</t>
        </is>
      </c>
      <c r="B4290" s="1" t="n">
        <v>44109</v>
      </c>
      <c r="C4290" s="1" t="n">
        <v>45586</v>
      </c>
      <c r="D4290" t="inlineStr">
        <is>
          <t>VÄSTRA GÖTALANDS LÄN</t>
        </is>
      </c>
      <c r="E4290" t="inlineStr">
        <is>
          <t>DALS-ED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50122-2020</t>
        </is>
      </c>
      <c r="B4291" s="1" t="n">
        <v>44109</v>
      </c>
      <c r="C4291" s="1" t="n">
        <v>45586</v>
      </c>
      <c r="D4291" t="inlineStr">
        <is>
          <t>VÄSTRA GÖTALANDS LÄN</t>
        </is>
      </c>
      <c r="E4291" t="inlineStr">
        <is>
          <t>SVENLJUNGA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50125-2020</t>
        </is>
      </c>
      <c r="B4292" s="1" t="n">
        <v>44109</v>
      </c>
      <c r="C4292" s="1" t="n">
        <v>45586</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50149-2020</t>
        </is>
      </c>
      <c r="B4293" s="1" t="n">
        <v>44109</v>
      </c>
      <c r="C4293" s="1" t="n">
        <v>45586</v>
      </c>
      <c r="D4293" t="inlineStr">
        <is>
          <t>VÄSTRA GÖTALANDS LÄN</t>
        </is>
      </c>
      <c r="E4293" t="inlineStr">
        <is>
          <t>SVENLJUNGA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49959-2020</t>
        </is>
      </c>
      <c r="B4294" s="1" t="n">
        <v>44109</v>
      </c>
      <c r="C4294" s="1" t="n">
        <v>45586</v>
      </c>
      <c r="D4294" t="inlineStr">
        <is>
          <t>VÄSTRA GÖTALANDS LÄN</t>
        </is>
      </c>
      <c r="E4294" t="inlineStr">
        <is>
          <t>TIDAHOLM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49922-2020</t>
        </is>
      </c>
      <c r="B4295" s="1" t="n">
        <v>44109</v>
      </c>
      <c r="C4295" s="1" t="n">
        <v>45586</v>
      </c>
      <c r="D4295" t="inlineStr">
        <is>
          <t>VÄSTRA GÖTALANDS LÄN</t>
        </is>
      </c>
      <c r="E4295" t="inlineStr">
        <is>
          <t>FALKÖPING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49939-2020</t>
        </is>
      </c>
      <c r="B4296" s="1" t="n">
        <v>44109</v>
      </c>
      <c r="C4296" s="1" t="n">
        <v>45586</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49958-2020</t>
        </is>
      </c>
      <c r="B4297" s="1" t="n">
        <v>44109</v>
      </c>
      <c r="C4297" s="1" t="n">
        <v>45586</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50104-2020</t>
        </is>
      </c>
      <c r="B4298" s="1" t="n">
        <v>44109</v>
      </c>
      <c r="C4298" s="1" t="n">
        <v>45586</v>
      </c>
      <c r="D4298" t="inlineStr">
        <is>
          <t>VÄSTRA GÖTALANDS LÄN</t>
        </is>
      </c>
      <c r="E4298" t="inlineStr">
        <is>
          <t>DALS-ED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50361-2020</t>
        </is>
      </c>
      <c r="B4299" s="1" t="n">
        <v>44110</v>
      </c>
      <c r="C4299" s="1" t="n">
        <v>45586</v>
      </c>
      <c r="D4299" t="inlineStr">
        <is>
          <t>VÄSTRA GÖTALANDS LÄN</t>
        </is>
      </c>
      <c r="E4299" t="inlineStr">
        <is>
          <t>MELLERUD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50600-2020</t>
        </is>
      </c>
      <c r="B4300" s="1" t="n">
        <v>44110</v>
      </c>
      <c r="C4300" s="1" t="n">
        <v>45586</v>
      </c>
      <c r="D4300" t="inlineStr">
        <is>
          <t>VÄSTRA GÖTALANDS LÄN</t>
        </is>
      </c>
      <c r="E4300" t="inlineStr">
        <is>
          <t>ULRICEHAMN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50546-2020</t>
        </is>
      </c>
      <c r="B4301" s="1" t="n">
        <v>44110</v>
      </c>
      <c r="C4301" s="1" t="n">
        <v>45586</v>
      </c>
      <c r="D4301" t="inlineStr">
        <is>
          <t>VÄSTRA GÖTALANDS LÄN</t>
        </is>
      </c>
      <c r="E4301" t="inlineStr">
        <is>
          <t>ULRICEHAMN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52116-2020</t>
        </is>
      </c>
      <c r="B4302" s="1" t="n">
        <v>44110</v>
      </c>
      <c r="C4302" s="1" t="n">
        <v>45586</v>
      </c>
      <c r="D4302" t="inlineStr">
        <is>
          <t>VÄSTRA GÖTALANDS LÄN</t>
        </is>
      </c>
      <c r="E4302" t="inlineStr">
        <is>
          <t>ULRICEHAMN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51968-2020</t>
        </is>
      </c>
      <c r="B4303" s="1" t="n">
        <v>44110</v>
      </c>
      <c r="C4303" s="1" t="n">
        <v>45586</v>
      </c>
      <c r="D4303" t="inlineStr">
        <is>
          <t>VÄSTRA GÖTALANDS LÄN</t>
        </is>
      </c>
      <c r="E4303" t="inlineStr">
        <is>
          <t>VARA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51970-2020</t>
        </is>
      </c>
      <c r="B4304" s="1" t="n">
        <v>44110</v>
      </c>
      <c r="C4304" s="1" t="n">
        <v>45586</v>
      </c>
      <c r="D4304" t="inlineStr">
        <is>
          <t>VÄSTRA GÖTALANDS LÄN</t>
        </is>
      </c>
      <c r="E4304" t="inlineStr">
        <is>
          <t>VARA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50656-2020</t>
        </is>
      </c>
      <c r="B4305" s="1" t="n">
        <v>44111</v>
      </c>
      <c r="C4305" s="1" t="n">
        <v>45586</v>
      </c>
      <c r="D4305" t="inlineStr">
        <is>
          <t>VÄSTRA GÖTALANDS LÄN</t>
        </is>
      </c>
      <c r="E4305" t="inlineStr">
        <is>
          <t>BOLLEBYGD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50805-2020</t>
        </is>
      </c>
      <c r="B4306" s="1" t="n">
        <v>44111</v>
      </c>
      <c r="C4306" s="1" t="n">
        <v>45586</v>
      </c>
      <c r="D4306" t="inlineStr">
        <is>
          <t>VÄSTRA GÖTALANDS LÄN</t>
        </is>
      </c>
      <c r="E4306" t="inlineStr">
        <is>
          <t>LIDKÖPING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50932-2020</t>
        </is>
      </c>
      <c r="B4307" s="1" t="n">
        <v>44111</v>
      </c>
      <c r="C4307" s="1" t="n">
        <v>45586</v>
      </c>
      <c r="D4307" t="inlineStr">
        <is>
          <t>VÄSTRA GÖTALANDS LÄN</t>
        </is>
      </c>
      <c r="E4307" t="inlineStr">
        <is>
          <t>BOLLEBYGD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50942-2020</t>
        </is>
      </c>
      <c r="B4308" s="1" t="n">
        <v>44111</v>
      </c>
      <c r="C4308" s="1" t="n">
        <v>45586</v>
      </c>
      <c r="D4308" t="inlineStr">
        <is>
          <t>VÄSTRA GÖTALANDS LÄN</t>
        </is>
      </c>
      <c r="E4308" t="inlineStr">
        <is>
          <t>SOTENÄS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50813-2020</t>
        </is>
      </c>
      <c r="B4309" s="1" t="n">
        <v>44111</v>
      </c>
      <c r="C4309" s="1" t="n">
        <v>45586</v>
      </c>
      <c r="D4309" t="inlineStr">
        <is>
          <t>VÄSTRA GÖTALANDS LÄN</t>
        </is>
      </c>
      <c r="E4309" t="inlineStr">
        <is>
          <t>LIDKÖPING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50940-2020</t>
        </is>
      </c>
      <c r="B4310" s="1" t="n">
        <v>44111</v>
      </c>
      <c r="C4310" s="1" t="n">
        <v>45586</v>
      </c>
      <c r="D4310" t="inlineStr">
        <is>
          <t>VÄSTRA GÖTALANDS LÄN</t>
        </is>
      </c>
      <c r="E4310" t="inlineStr">
        <is>
          <t>LYSEKIL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50941-2020</t>
        </is>
      </c>
      <c r="B4311" s="1" t="n">
        <v>44111</v>
      </c>
      <c r="C4311" s="1" t="n">
        <v>45586</v>
      </c>
      <c r="D4311" t="inlineStr">
        <is>
          <t>VÄSTRA GÖTALANDS LÄN</t>
        </is>
      </c>
      <c r="E4311" t="inlineStr">
        <is>
          <t>SOTENÄS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50956-2020</t>
        </is>
      </c>
      <c r="B4312" s="1" t="n">
        <v>44111</v>
      </c>
      <c r="C4312" s="1" t="n">
        <v>45586</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51026-2020</t>
        </is>
      </c>
      <c r="B4313" s="1" t="n">
        <v>44112</v>
      </c>
      <c r="C4313" s="1" t="n">
        <v>45586</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51156-2020</t>
        </is>
      </c>
      <c r="B4314" s="1" t="n">
        <v>44112</v>
      </c>
      <c r="C4314" s="1" t="n">
        <v>45586</v>
      </c>
      <c r="D4314" t="inlineStr">
        <is>
          <t>VÄSTRA GÖTALANDS LÄN</t>
        </is>
      </c>
      <c r="E4314" t="inlineStr">
        <is>
          <t>GULLSPÅNG</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51162-2020</t>
        </is>
      </c>
      <c r="B4315" s="1" t="n">
        <v>44112</v>
      </c>
      <c r="C4315" s="1" t="n">
        <v>45586</v>
      </c>
      <c r="D4315" t="inlineStr">
        <is>
          <t>VÄSTRA GÖTALANDS LÄN</t>
        </is>
      </c>
      <c r="E4315" t="inlineStr">
        <is>
          <t>GULLSPÅNG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51120-2020</t>
        </is>
      </c>
      <c r="B4316" s="1" t="n">
        <v>44112</v>
      </c>
      <c r="C4316" s="1" t="n">
        <v>45586</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51135-2020</t>
        </is>
      </c>
      <c r="B4317" s="1" t="n">
        <v>44112</v>
      </c>
      <c r="C4317" s="1" t="n">
        <v>45586</v>
      </c>
      <c r="D4317" t="inlineStr">
        <is>
          <t>VÄSTRA GÖTALANDS LÄN</t>
        </is>
      </c>
      <c r="E4317" t="inlineStr">
        <is>
          <t>LILLA EDET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51160-2020</t>
        </is>
      </c>
      <c r="B4318" s="1" t="n">
        <v>44112</v>
      </c>
      <c r="C4318" s="1" t="n">
        <v>45586</v>
      </c>
      <c r="D4318" t="inlineStr">
        <is>
          <t>VÄSTRA GÖTALANDS LÄN</t>
        </is>
      </c>
      <c r="E4318" t="inlineStr">
        <is>
          <t>GULLSPÅNG</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51167-2020</t>
        </is>
      </c>
      <c r="B4319" s="1" t="n">
        <v>44112</v>
      </c>
      <c r="C4319" s="1" t="n">
        <v>45586</v>
      </c>
      <c r="D4319" t="inlineStr">
        <is>
          <t>VÄSTRA GÖTALANDS LÄN</t>
        </is>
      </c>
      <c r="E4319" t="inlineStr">
        <is>
          <t>GULLSPÅNG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51104-2020</t>
        </is>
      </c>
      <c r="B4320" s="1" t="n">
        <v>44112</v>
      </c>
      <c r="C4320" s="1" t="n">
        <v>45586</v>
      </c>
      <c r="D4320" t="inlineStr">
        <is>
          <t>VÄSTRA GÖTALANDS LÄN</t>
        </is>
      </c>
      <c r="E4320" t="inlineStr">
        <is>
          <t>MUNKEDAL</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51133-2020</t>
        </is>
      </c>
      <c r="B4321" s="1" t="n">
        <v>44112</v>
      </c>
      <c r="C4321" s="1" t="n">
        <v>45586</v>
      </c>
      <c r="D4321" t="inlineStr">
        <is>
          <t>VÄSTRA GÖTALANDS LÄN</t>
        </is>
      </c>
      <c r="E4321" t="inlineStr">
        <is>
          <t>ORUST</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51159-2020</t>
        </is>
      </c>
      <c r="B4322" s="1" t="n">
        <v>44112</v>
      </c>
      <c r="C4322" s="1" t="n">
        <v>45586</v>
      </c>
      <c r="D4322" t="inlineStr">
        <is>
          <t>VÄSTRA GÖTALANDS LÄN</t>
        </is>
      </c>
      <c r="E4322" t="inlineStr">
        <is>
          <t>GULLSPÅNG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51257-2020</t>
        </is>
      </c>
      <c r="B4323" s="1" t="n">
        <v>44112</v>
      </c>
      <c r="C4323" s="1" t="n">
        <v>45586</v>
      </c>
      <c r="D4323" t="inlineStr">
        <is>
          <t>VÄSTRA GÖTALANDS LÄN</t>
        </is>
      </c>
      <c r="E4323" t="inlineStr">
        <is>
          <t>FÄRGELANDA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51114-2020</t>
        </is>
      </c>
      <c r="B4324" s="1" t="n">
        <v>44112</v>
      </c>
      <c r="C4324" s="1" t="n">
        <v>45586</v>
      </c>
      <c r="D4324" t="inlineStr">
        <is>
          <t>VÄSTRA GÖTALANDS LÄN</t>
        </is>
      </c>
      <c r="E4324" t="inlineStr">
        <is>
          <t>MUNKEDAL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51124-2020</t>
        </is>
      </c>
      <c r="B4325" s="1" t="n">
        <v>44112</v>
      </c>
      <c r="C4325" s="1" t="n">
        <v>45586</v>
      </c>
      <c r="D4325" t="inlineStr">
        <is>
          <t>VÄSTRA GÖTALANDS LÄN</t>
        </is>
      </c>
      <c r="E4325" t="inlineStr">
        <is>
          <t>MUNKEDAL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51131-2020</t>
        </is>
      </c>
      <c r="B4326" s="1" t="n">
        <v>44112</v>
      </c>
      <c r="C4326" s="1" t="n">
        <v>45586</v>
      </c>
      <c r="D4326" t="inlineStr">
        <is>
          <t>VÄSTRA GÖTALANDS LÄN</t>
        </is>
      </c>
      <c r="E4326" t="inlineStr">
        <is>
          <t>ORUST</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51139-2020</t>
        </is>
      </c>
      <c r="B4327" s="1" t="n">
        <v>44112</v>
      </c>
      <c r="C4327" s="1" t="n">
        <v>45586</v>
      </c>
      <c r="D4327" t="inlineStr">
        <is>
          <t>VÄSTRA GÖTALANDS LÄN</t>
        </is>
      </c>
      <c r="E4327" t="inlineStr">
        <is>
          <t>LILLA EDET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51158-2020</t>
        </is>
      </c>
      <c r="B4328" s="1" t="n">
        <v>44112</v>
      </c>
      <c r="C4328" s="1" t="n">
        <v>45586</v>
      </c>
      <c r="D4328" t="inlineStr">
        <is>
          <t>VÄSTRA GÖTALANDS LÄN</t>
        </is>
      </c>
      <c r="E4328" t="inlineStr">
        <is>
          <t>GULLSPÅNG</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51165-2020</t>
        </is>
      </c>
      <c r="B4329" s="1" t="n">
        <v>44112</v>
      </c>
      <c r="C4329" s="1" t="n">
        <v>45586</v>
      </c>
      <c r="D4329" t="inlineStr">
        <is>
          <t>VÄSTRA GÖTALANDS LÄN</t>
        </is>
      </c>
      <c r="E4329" t="inlineStr">
        <is>
          <t>GULLSPÅNG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51253-2020</t>
        </is>
      </c>
      <c r="B4330" s="1" t="n">
        <v>44112</v>
      </c>
      <c r="C4330" s="1" t="n">
        <v>45586</v>
      </c>
      <c r="D4330" t="inlineStr">
        <is>
          <t>VÄSTRA GÖTALANDS LÄN</t>
        </is>
      </c>
      <c r="E4330" t="inlineStr">
        <is>
          <t>KARLSBORG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51261-2020</t>
        </is>
      </c>
      <c r="B4331" s="1" t="n">
        <v>44112</v>
      </c>
      <c r="C4331" s="1" t="n">
        <v>45586</v>
      </c>
      <c r="D4331" t="inlineStr">
        <is>
          <t>VÄSTRA GÖTALANDS LÄN</t>
        </is>
      </c>
      <c r="E4331" t="inlineStr">
        <is>
          <t>FÄRGELANDA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45586</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51301-2020</t>
        </is>
      </c>
      <c r="B4333" s="1" t="n">
        <v>44112</v>
      </c>
      <c r="C4333" s="1" t="n">
        <v>45586</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51289-2020</t>
        </is>
      </c>
      <c r="B4334" s="1" t="n">
        <v>44112</v>
      </c>
      <c r="C4334" s="1" t="n">
        <v>45586</v>
      </c>
      <c r="D4334" t="inlineStr">
        <is>
          <t>VÄSTRA GÖTALANDS LÄN</t>
        </is>
      </c>
      <c r="E4334" t="inlineStr">
        <is>
          <t>TÖREBODA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51298-2020</t>
        </is>
      </c>
      <c r="B4335" s="1" t="n">
        <v>44112</v>
      </c>
      <c r="C4335" s="1" t="n">
        <v>45586</v>
      </c>
      <c r="D4335" t="inlineStr">
        <is>
          <t>VÄSTRA GÖTALANDS LÄN</t>
        </is>
      </c>
      <c r="E4335" t="inlineStr">
        <is>
          <t>TÖREBODA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51299-2020</t>
        </is>
      </c>
      <c r="B4336" s="1" t="n">
        <v>44112</v>
      </c>
      <c r="C4336" s="1" t="n">
        <v>45586</v>
      </c>
      <c r="D4336" t="inlineStr">
        <is>
          <t>VÄSTRA GÖTALANDS LÄN</t>
        </is>
      </c>
      <c r="E4336" t="inlineStr">
        <is>
          <t>TÖREBODA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52287-2020</t>
        </is>
      </c>
      <c r="B4337" s="1" t="n">
        <v>44112</v>
      </c>
      <c r="C4337" s="1" t="n">
        <v>45586</v>
      </c>
      <c r="D4337" t="inlineStr">
        <is>
          <t>VÄSTRA GÖTALANDS LÄN</t>
        </is>
      </c>
      <c r="E4337" t="inlineStr">
        <is>
          <t>LIDKÖPING</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52439-2020</t>
        </is>
      </c>
      <c r="B4338" s="1" t="n">
        <v>44112</v>
      </c>
      <c r="C4338" s="1" t="n">
        <v>45586</v>
      </c>
      <c r="D4338" t="inlineStr">
        <is>
          <t>VÄSTRA GÖTALANDS LÄN</t>
        </is>
      </c>
      <c r="E4338" t="inlineStr">
        <is>
          <t>BENGTSFORS</t>
        </is>
      </c>
      <c r="F4338" t="inlineStr">
        <is>
          <t>Kyrkan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57179-2020</t>
        </is>
      </c>
      <c r="B4339" s="1" t="n">
        <v>44112</v>
      </c>
      <c r="C4339" s="1" t="n">
        <v>45586</v>
      </c>
      <c r="D4339" t="inlineStr">
        <is>
          <t>VÄSTRA GÖTALANDS LÄN</t>
        </is>
      </c>
      <c r="E4339" t="inlineStr">
        <is>
          <t>MUNKEDAL</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52299-2020</t>
        </is>
      </c>
      <c r="B4340" s="1" t="n">
        <v>44112</v>
      </c>
      <c r="C4340" s="1" t="n">
        <v>45586</v>
      </c>
      <c r="D4340" t="inlineStr">
        <is>
          <t>VÄSTRA GÖTALANDS LÄN</t>
        </is>
      </c>
      <c r="E4340" t="inlineStr">
        <is>
          <t>LIDKÖPING</t>
        </is>
      </c>
      <c r="F4340" t="inlineStr">
        <is>
          <t>Kommuner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52436-2020</t>
        </is>
      </c>
      <c r="B4341" s="1" t="n">
        <v>44112</v>
      </c>
      <c r="C4341" s="1" t="n">
        <v>45586</v>
      </c>
      <c r="D4341" t="inlineStr">
        <is>
          <t>VÄSTRA GÖTALANDS LÄN</t>
        </is>
      </c>
      <c r="E4341" t="inlineStr">
        <is>
          <t>BENGTSFORS</t>
        </is>
      </c>
      <c r="F4341" t="inlineStr">
        <is>
          <t>Kyrkan</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52295-2020</t>
        </is>
      </c>
      <c r="B4342" s="1" t="n">
        <v>44112</v>
      </c>
      <c r="C4342" s="1" t="n">
        <v>45586</v>
      </c>
      <c r="D4342" t="inlineStr">
        <is>
          <t>VÄSTRA GÖTALANDS LÄN</t>
        </is>
      </c>
      <c r="E4342" t="inlineStr">
        <is>
          <t>LIDKÖPING</t>
        </is>
      </c>
      <c r="F4342" t="inlineStr">
        <is>
          <t>Kommuner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51071-2020</t>
        </is>
      </c>
      <c r="B4343" s="1" t="n">
        <v>44112</v>
      </c>
      <c r="C4343" s="1" t="n">
        <v>45586</v>
      </c>
      <c r="D4343" t="inlineStr">
        <is>
          <t>VÄSTRA GÖTALANDS LÄN</t>
        </is>
      </c>
      <c r="E4343" t="inlineStr">
        <is>
          <t>SKÖVDE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57210-2020</t>
        </is>
      </c>
      <c r="B4344" s="1" t="n">
        <v>44112</v>
      </c>
      <c r="C4344" s="1" t="n">
        <v>45586</v>
      </c>
      <c r="D4344" t="inlineStr">
        <is>
          <t>VÄSTRA GÖTALANDS LÄN</t>
        </is>
      </c>
      <c r="E4344" t="inlineStr">
        <is>
          <t>MUNKEDAL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51531-2020</t>
        </is>
      </c>
      <c r="B4345" s="1" t="n">
        <v>44113</v>
      </c>
      <c r="C4345" s="1" t="n">
        <v>45586</v>
      </c>
      <c r="D4345" t="inlineStr">
        <is>
          <t>VÄSTRA GÖTALANDS LÄN</t>
        </is>
      </c>
      <c r="E4345" t="inlineStr">
        <is>
          <t>ALINGSÅS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51650-2020</t>
        </is>
      </c>
      <c r="B4346" s="1" t="n">
        <v>44113</v>
      </c>
      <c r="C4346" s="1" t="n">
        <v>45586</v>
      </c>
      <c r="D4346" t="inlineStr">
        <is>
          <t>VÄSTRA GÖTALANDS LÄN</t>
        </is>
      </c>
      <c r="E4346" t="inlineStr">
        <is>
          <t>HÄRRYDA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51423-2020</t>
        </is>
      </c>
      <c r="B4347" s="1" t="n">
        <v>44113</v>
      </c>
      <c r="C4347" s="1" t="n">
        <v>45586</v>
      </c>
      <c r="D4347" t="inlineStr">
        <is>
          <t>VÄSTRA GÖTALANDS LÄN</t>
        </is>
      </c>
      <c r="E4347" t="inlineStr">
        <is>
          <t>FALKÖPING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51494-2020</t>
        </is>
      </c>
      <c r="B4348" s="1" t="n">
        <v>44113</v>
      </c>
      <c r="C4348" s="1" t="n">
        <v>45586</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51619-2020</t>
        </is>
      </c>
      <c r="B4349" s="1" t="n">
        <v>44113</v>
      </c>
      <c r="C4349" s="1" t="n">
        <v>45586</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51426-2020</t>
        </is>
      </c>
      <c r="B4350" s="1" t="n">
        <v>44113</v>
      </c>
      <c r="C4350" s="1" t="n">
        <v>45586</v>
      </c>
      <c r="D4350" t="inlineStr">
        <is>
          <t>VÄSTRA GÖTALANDS LÄN</t>
        </is>
      </c>
      <c r="E4350" t="inlineStr">
        <is>
          <t>MELLERUD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51540-2020</t>
        </is>
      </c>
      <c r="B4351" s="1" t="n">
        <v>44113</v>
      </c>
      <c r="C4351" s="1" t="n">
        <v>45586</v>
      </c>
      <c r="D4351" t="inlineStr">
        <is>
          <t>VÄSTRA GÖTALANDS LÄN</t>
        </is>
      </c>
      <c r="E4351" t="inlineStr">
        <is>
          <t>ALINGSÅS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52398-2020</t>
        </is>
      </c>
      <c r="B4352" s="1" t="n">
        <v>44113</v>
      </c>
      <c r="C4352" s="1" t="n">
        <v>45586</v>
      </c>
      <c r="D4352" t="inlineStr">
        <is>
          <t>VÄSTRA GÖTALANDS LÄN</t>
        </is>
      </c>
      <c r="E4352" t="inlineStr">
        <is>
          <t>VARA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52450-2020</t>
        </is>
      </c>
      <c r="B4353" s="1" t="n">
        <v>44113</v>
      </c>
      <c r="C4353" s="1" t="n">
        <v>45586</v>
      </c>
      <c r="D4353" t="inlineStr">
        <is>
          <t>VÄSTRA GÖTALANDS LÄN</t>
        </is>
      </c>
      <c r="E4353" t="inlineStr">
        <is>
          <t>LIDKÖPING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52452-2020</t>
        </is>
      </c>
      <c r="B4354" s="1" t="n">
        <v>44113</v>
      </c>
      <c r="C4354" s="1" t="n">
        <v>45586</v>
      </c>
      <c r="D4354" t="inlineStr">
        <is>
          <t>VÄSTRA GÖTALANDS LÄN</t>
        </is>
      </c>
      <c r="E4354" t="inlineStr">
        <is>
          <t>GÖTENE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52453-2020</t>
        </is>
      </c>
      <c r="B4355" s="1" t="n">
        <v>44113</v>
      </c>
      <c r="C4355" s="1" t="n">
        <v>45586</v>
      </c>
      <c r="D4355" t="inlineStr">
        <is>
          <t>VÄSTRA GÖTALANDS LÄN</t>
        </is>
      </c>
      <c r="E4355" t="inlineStr">
        <is>
          <t>GÖTENE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52510-2020</t>
        </is>
      </c>
      <c r="B4356" s="1" t="n">
        <v>44116</v>
      </c>
      <c r="C4356" s="1" t="n">
        <v>45586</v>
      </c>
      <c r="D4356" t="inlineStr">
        <is>
          <t>VÄSTRA GÖTALANDS LÄN</t>
        </is>
      </c>
      <c r="E4356" t="inlineStr">
        <is>
          <t>ULRICEHAMN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51786-2020</t>
        </is>
      </c>
      <c r="B4357" s="1" t="n">
        <v>44116</v>
      </c>
      <c r="C4357" s="1" t="n">
        <v>45586</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52598-2020</t>
        </is>
      </c>
      <c r="B4358" s="1" t="n">
        <v>44116</v>
      </c>
      <c r="C4358" s="1" t="n">
        <v>45586</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52176-2020</t>
        </is>
      </c>
      <c r="B4359" s="1" t="n">
        <v>44117</v>
      </c>
      <c r="C4359" s="1" t="n">
        <v>45586</v>
      </c>
      <c r="D4359" t="inlineStr">
        <is>
          <t>VÄSTRA GÖTALANDS LÄN</t>
        </is>
      </c>
      <c r="E4359" t="inlineStr">
        <is>
          <t>LIDKÖPING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52219-2020</t>
        </is>
      </c>
      <c r="B4360" s="1" t="n">
        <v>44117</v>
      </c>
      <c r="C4360" s="1" t="n">
        <v>45586</v>
      </c>
      <c r="D4360" t="inlineStr">
        <is>
          <t>VÄSTRA GÖTALANDS LÄN</t>
        </is>
      </c>
      <c r="E4360" t="inlineStr">
        <is>
          <t>LYSEKIL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52179-2020</t>
        </is>
      </c>
      <c r="B4361" s="1" t="n">
        <v>44117</v>
      </c>
      <c r="C4361" s="1" t="n">
        <v>45586</v>
      </c>
      <c r="D4361" t="inlineStr">
        <is>
          <t>VÄSTRA GÖTALANDS LÄN</t>
        </is>
      </c>
      <c r="E4361" t="inlineStr">
        <is>
          <t>MARIESTAD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52684-2020</t>
        </is>
      </c>
      <c r="B4362" s="1" t="n">
        <v>44117</v>
      </c>
      <c r="C4362" s="1" t="n">
        <v>45586</v>
      </c>
      <c r="D4362" t="inlineStr">
        <is>
          <t>VÄSTRA GÖTALANDS LÄN</t>
        </is>
      </c>
      <c r="E4362" t="inlineStr">
        <is>
          <t>GULLSPÅNG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52173-2020</t>
        </is>
      </c>
      <c r="B4363" s="1" t="n">
        <v>44117</v>
      </c>
      <c r="C4363" s="1" t="n">
        <v>45586</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52196-2020</t>
        </is>
      </c>
      <c r="B4364" s="1" t="n">
        <v>44117</v>
      </c>
      <c r="C4364" s="1" t="n">
        <v>45586</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52261-2020</t>
        </is>
      </c>
      <c r="B4365" s="1" t="n">
        <v>44117</v>
      </c>
      <c r="C4365" s="1" t="n">
        <v>45586</v>
      </c>
      <c r="D4365" t="inlineStr">
        <is>
          <t>VÄSTRA GÖTALANDS LÄN</t>
        </is>
      </c>
      <c r="E4365" t="inlineStr">
        <is>
          <t>ORUST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52352-2020</t>
        </is>
      </c>
      <c r="B4366" s="1" t="n">
        <v>44117</v>
      </c>
      <c r="C4366" s="1" t="n">
        <v>45586</v>
      </c>
      <c r="D4366" t="inlineStr">
        <is>
          <t>VÄSTRA GÖTALANDS LÄN</t>
        </is>
      </c>
      <c r="E4366" t="inlineStr">
        <is>
          <t>FALKÖPING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52686-2020</t>
        </is>
      </c>
      <c r="B4367" s="1" t="n">
        <v>44117</v>
      </c>
      <c r="C4367" s="1" t="n">
        <v>45586</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52649-2020</t>
        </is>
      </c>
      <c r="B4368" s="1" t="n">
        <v>44117</v>
      </c>
      <c r="C4368" s="1" t="n">
        <v>45586</v>
      </c>
      <c r="D4368" t="inlineStr">
        <is>
          <t>VÄSTRA GÖTALANDS LÄN</t>
        </is>
      </c>
      <c r="E4368" t="inlineStr">
        <is>
          <t>TIDAHOLM</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52682-2020</t>
        </is>
      </c>
      <c r="B4369" s="1" t="n">
        <v>44117</v>
      </c>
      <c r="C4369" s="1" t="n">
        <v>45586</v>
      </c>
      <c r="D4369" t="inlineStr">
        <is>
          <t>VÄSTRA GÖTALANDS LÄN</t>
        </is>
      </c>
      <c r="E4369" t="inlineStr">
        <is>
          <t>GULLSPÅNG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52484-2020</t>
        </is>
      </c>
      <c r="B4370" s="1" t="n">
        <v>44118</v>
      </c>
      <c r="C4370" s="1" t="n">
        <v>45586</v>
      </c>
      <c r="D4370" t="inlineStr">
        <is>
          <t>VÄSTRA GÖTALANDS LÄN</t>
        </is>
      </c>
      <c r="E4370" t="inlineStr">
        <is>
          <t>TANUM</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52415-2020</t>
        </is>
      </c>
      <c r="B4371" s="1" t="n">
        <v>44118</v>
      </c>
      <c r="C4371" s="1" t="n">
        <v>45586</v>
      </c>
      <c r="D4371" t="inlineStr">
        <is>
          <t>VÄSTRA GÖTALANDS LÄN</t>
        </is>
      </c>
      <c r="E4371" t="inlineStr">
        <is>
          <t>TJÖRN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52513-2020</t>
        </is>
      </c>
      <c r="B4372" s="1" t="n">
        <v>44118</v>
      </c>
      <c r="C4372" s="1" t="n">
        <v>45586</v>
      </c>
      <c r="D4372" t="inlineStr">
        <is>
          <t>VÄSTRA GÖTALANDS LÄN</t>
        </is>
      </c>
      <c r="E4372" t="inlineStr">
        <is>
          <t>MARK</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52590-2020</t>
        </is>
      </c>
      <c r="B4373" s="1" t="n">
        <v>44118</v>
      </c>
      <c r="C4373" s="1" t="n">
        <v>45586</v>
      </c>
      <c r="D4373" t="inlineStr">
        <is>
          <t>VÄSTRA GÖTALANDS LÄN</t>
        </is>
      </c>
      <c r="E4373" t="inlineStr">
        <is>
          <t>GULLSPÅNG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52353-2020</t>
        </is>
      </c>
      <c r="B4374" s="1" t="n">
        <v>44118</v>
      </c>
      <c r="C4374" s="1" t="n">
        <v>45586</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52585-2020</t>
        </is>
      </c>
      <c r="B4375" s="1" t="n">
        <v>44118</v>
      </c>
      <c r="C4375" s="1" t="n">
        <v>45586</v>
      </c>
      <c r="D4375" t="inlineStr">
        <is>
          <t>VÄSTRA GÖTALANDS LÄN</t>
        </is>
      </c>
      <c r="E4375" t="inlineStr">
        <is>
          <t>GULLSPÅNG</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52839-2020</t>
        </is>
      </c>
      <c r="B4376" s="1" t="n">
        <v>44118</v>
      </c>
      <c r="C4376" s="1" t="n">
        <v>45586</v>
      </c>
      <c r="D4376" t="inlineStr">
        <is>
          <t>VÄSTRA GÖTALANDS LÄN</t>
        </is>
      </c>
      <c r="E4376" t="inlineStr">
        <is>
          <t>ALE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52716-2020</t>
        </is>
      </c>
      <c r="B4377" s="1" t="n">
        <v>44119</v>
      </c>
      <c r="C4377" s="1" t="n">
        <v>45586</v>
      </c>
      <c r="D4377" t="inlineStr">
        <is>
          <t>VÄSTRA GÖTALANDS LÄN</t>
        </is>
      </c>
      <c r="E4377" t="inlineStr">
        <is>
          <t>VARA</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52873-2020</t>
        </is>
      </c>
      <c r="B4378" s="1" t="n">
        <v>44119</v>
      </c>
      <c r="C4378" s="1" t="n">
        <v>45586</v>
      </c>
      <c r="D4378" t="inlineStr">
        <is>
          <t>VÄSTRA GÖTALANDS LÄN</t>
        </is>
      </c>
      <c r="E4378" t="inlineStr">
        <is>
          <t>GÖTENE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52911-2020</t>
        </is>
      </c>
      <c r="B4379" s="1" t="n">
        <v>44119</v>
      </c>
      <c r="C4379" s="1" t="n">
        <v>45586</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53095-2020</t>
        </is>
      </c>
      <c r="B4380" s="1" t="n">
        <v>44120</v>
      </c>
      <c r="C4380" s="1" t="n">
        <v>45586</v>
      </c>
      <c r="D4380" t="inlineStr">
        <is>
          <t>VÄSTRA GÖTALANDS LÄN</t>
        </is>
      </c>
      <c r="E4380" t="inlineStr">
        <is>
          <t>ULRICEHAMN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53084-2020</t>
        </is>
      </c>
      <c r="B4381" s="1" t="n">
        <v>44120</v>
      </c>
      <c r="C4381" s="1" t="n">
        <v>45586</v>
      </c>
      <c r="D4381" t="inlineStr">
        <is>
          <t>VÄSTRA GÖTALANDS LÄN</t>
        </is>
      </c>
      <c r="E4381" t="inlineStr">
        <is>
          <t>FALKÖPING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53094-2020</t>
        </is>
      </c>
      <c r="B4382" s="1" t="n">
        <v>44120</v>
      </c>
      <c r="C4382" s="1" t="n">
        <v>45586</v>
      </c>
      <c r="D4382" t="inlineStr">
        <is>
          <t>VÄSTRA GÖTALANDS LÄN</t>
        </is>
      </c>
      <c r="E4382" t="inlineStr">
        <is>
          <t>LERUM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53164-2020</t>
        </is>
      </c>
      <c r="B4383" s="1" t="n">
        <v>44120</v>
      </c>
      <c r="C4383" s="1" t="n">
        <v>45586</v>
      </c>
      <c r="D4383" t="inlineStr">
        <is>
          <t>VÄSTRA GÖTALANDS LÄN</t>
        </is>
      </c>
      <c r="E4383" t="inlineStr">
        <is>
          <t>TANUM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53463-2020</t>
        </is>
      </c>
      <c r="B4384" s="1" t="n">
        <v>44120</v>
      </c>
      <c r="C4384" s="1" t="n">
        <v>45586</v>
      </c>
      <c r="D4384" t="inlineStr">
        <is>
          <t>VÄSTRA GÖTALANDS LÄN</t>
        </is>
      </c>
      <c r="E4384" t="inlineStr">
        <is>
          <t>TIDAHOLM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53193-2020</t>
        </is>
      </c>
      <c r="B4385" s="1" t="n">
        <v>44122</v>
      </c>
      <c r="C4385" s="1" t="n">
        <v>45586</v>
      </c>
      <c r="D4385" t="inlineStr">
        <is>
          <t>VÄSTRA GÖTALANDS LÄN</t>
        </is>
      </c>
      <c r="E4385" t="inlineStr">
        <is>
          <t>VÄNERSBORG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53194-2020</t>
        </is>
      </c>
      <c r="B4386" s="1" t="n">
        <v>44122</v>
      </c>
      <c r="C4386" s="1" t="n">
        <v>45586</v>
      </c>
      <c r="D4386" t="inlineStr">
        <is>
          <t>VÄSTRA GÖTALANDS LÄN</t>
        </is>
      </c>
      <c r="E4386" t="inlineStr">
        <is>
          <t>VÄNERSBORG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53226-2020</t>
        </is>
      </c>
      <c r="B4387" s="1" t="n">
        <v>44123</v>
      </c>
      <c r="C4387" s="1" t="n">
        <v>45586</v>
      </c>
      <c r="D4387" t="inlineStr">
        <is>
          <t>VÄSTRA GÖTALANDS LÄN</t>
        </is>
      </c>
      <c r="E4387" t="inlineStr">
        <is>
          <t>ALINGSÅS</t>
        </is>
      </c>
      <c r="G4387" t="n">
        <v>1.9</v>
      </c>
      <c r="H4387" t="n">
        <v>0</v>
      </c>
      <c r="I4387" t="n">
        <v>0</v>
      </c>
      <c r="J4387" t="n">
        <v>0</v>
      </c>
      <c r="K4387" t="n">
        <v>0</v>
      </c>
      <c r="L4387" t="n">
        <v>0</v>
      </c>
      <c r="M4387" t="n">
        <v>0</v>
      </c>
      <c r="N4387" t="n">
        <v>0</v>
      </c>
      <c r="O4387" t="n">
        <v>0</v>
      </c>
      <c r="P4387" t="n">
        <v>0</v>
      </c>
      <c r="Q4387" t="n">
        <v>0</v>
      </c>
      <c r="R4387" s="2" t="inlineStr"/>
      <c r="U4387">
        <f>HYPERLINK("https://klasma.github.io/Logging_1489/knärot/A 53226-2020 karta knärot.png", "A 53226-2020")</f>
        <v/>
      </c>
      <c r="V4387">
        <f>HYPERLINK("https://klasma.github.io/Logging_1489/klagomål/A 53226-2020 FSC-klagomål.docx", "A 53226-2020")</f>
        <v/>
      </c>
      <c r="W4387">
        <f>HYPERLINK("https://klasma.github.io/Logging_1489/klagomålsmail/A 53226-2020 FSC-klagomål mail.docx", "A 53226-2020")</f>
        <v/>
      </c>
      <c r="X4387">
        <f>HYPERLINK("https://klasma.github.io/Logging_1489/tillsyn/A 53226-2020 tillsynsbegäran.docx", "A 53226-2020")</f>
        <v/>
      </c>
      <c r="Y4387">
        <f>HYPERLINK("https://klasma.github.io/Logging_1489/tillsynsmail/A 53226-2020 tillsynsbegäran mail.docx", "A 53226-2020")</f>
        <v/>
      </c>
    </row>
    <row r="4388" ht="15" customHeight="1">
      <c r="A4388" t="inlineStr">
        <is>
          <t>A 53305-2020</t>
        </is>
      </c>
      <c r="B4388" s="1" t="n">
        <v>44123</v>
      </c>
      <c r="C4388" s="1" t="n">
        <v>45586</v>
      </c>
      <c r="D4388" t="inlineStr">
        <is>
          <t>VÄSTRA GÖTALANDS LÄN</t>
        </is>
      </c>
      <c r="E4388" t="inlineStr">
        <is>
          <t>VARA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53271-2020</t>
        </is>
      </c>
      <c r="B4389" s="1" t="n">
        <v>44123</v>
      </c>
      <c r="C4389" s="1" t="n">
        <v>45586</v>
      </c>
      <c r="D4389" t="inlineStr">
        <is>
          <t>VÄSTRA GÖTALANDS LÄN</t>
        </is>
      </c>
      <c r="E4389" t="inlineStr">
        <is>
          <t>ORUST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53377-2020</t>
        </is>
      </c>
      <c r="B4390" s="1" t="n">
        <v>44123</v>
      </c>
      <c r="C4390" s="1" t="n">
        <v>45586</v>
      </c>
      <c r="D4390" t="inlineStr">
        <is>
          <t>VÄSTRA GÖTALANDS LÄN</t>
        </is>
      </c>
      <c r="E4390" t="inlineStr">
        <is>
          <t>TRANEMO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53462-2020</t>
        </is>
      </c>
      <c r="B4391" s="1" t="n">
        <v>44123</v>
      </c>
      <c r="C4391" s="1" t="n">
        <v>45586</v>
      </c>
      <c r="D4391" t="inlineStr">
        <is>
          <t>VÄSTRA GÖTALANDS LÄN</t>
        </is>
      </c>
      <c r="E4391" t="inlineStr">
        <is>
          <t>MELLERUD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53567-2020</t>
        </is>
      </c>
      <c r="B4392" s="1" t="n">
        <v>44124</v>
      </c>
      <c r="C4392" s="1" t="n">
        <v>45586</v>
      </c>
      <c r="D4392" t="inlineStr">
        <is>
          <t>VÄSTRA GÖTALANDS LÄN</t>
        </is>
      </c>
      <c r="E4392" t="inlineStr">
        <is>
          <t>DALS-ED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53539-2020</t>
        </is>
      </c>
      <c r="B4393" s="1" t="n">
        <v>44124</v>
      </c>
      <c r="C4393" s="1" t="n">
        <v>45586</v>
      </c>
      <c r="D4393" t="inlineStr">
        <is>
          <t>VÄSTRA GÖTALANDS LÄN</t>
        </is>
      </c>
      <c r="E4393" t="inlineStr">
        <is>
          <t>KUNGÄLV</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53574-2020</t>
        </is>
      </c>
      <c r="B4394" s="1" t="n">
        <v>44124</v>
      </c>
      <c r="C4394" s="1" t="n">
        <v>45586</v>
      </c>
      <c r="D4394" t="inlineStr">
        <is>
          <t>VÄSTRA GÖTALANDS LÄN</t>
        </is>
      </c>
      <c r="E4394" t="inlineStr">
        <is>
          <t>MARIESTAD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53561-2020</t>
        </is>
      </c>
      <c r="B4395" s="1" t="n">
        <v>44124</v>
      </c>
      <c r="C4395" s="1" t="n">
        <v>45586</v>
      </c>
      <c r="D4395" t="inlineStr">
        <is>
          <t>VÄSTRA GÖTALANDS LÄN</t>
        </is>
      </c>
      <c r="E4395" t="inlineStr">
        <is>
          <t>SKÖVDE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53745-2020</t>
        </is>
      </c>
      <c r="B4396" s="1" t="n">
        <v>44124</v>
      </c>
      <c r="C4396" s="1" t="n">
        <v>45586</v>
      </c>
      <c r="D4396" t="inlineStr">
        <is>
          <t>VÄSTRA GÖTALANDS LÄN</t>
        </is>
      </c>
      <c r="E4396" t="inlineStr">
        <is>
          <t>HERRLJUNGA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53755-2020</t>
        </is>
      </c>
      <c r="B4397" s="1" t="n">
        <v>44124</v>
      </c>
      <c r="C4397" s="1" t="n">
        <v>45586</v>
      </c>
      <c r="D4397" t="inlineStr">
        <is>
          <t>VÄSTRA GÖTALANDS LÄN</t>
        </is>
      </c>
      <c r="E4397" t="inlineStr">
        <is>
          <t>KUNGÄLV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53595-2020</t>
        </is>
      </c>
      <c r="B4398" s="1" t="n">
        <v>44124</v>
      </c>
      <c r="C4398" s="1" t="n">
        <v>45586</v>
      </c>
      <c r="D4398" t="inlineStr">
        <is>
          <t>VÄSTRA GÖTALANDS LÄN</t>
        </is>
      </c>
      <c r="E4398" t="inlineStr">
        <is>
          <t>DALS-ED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53606-2020</t>
        </is>
      </c>
      <c r="B4399" s="1" t="n">
        <v>44124</v>
      </c>
      <c r="C4399" s="1" t="n">
        <v>45586</v>
      </c>
      <c r="D4399" t="inlineStr">
        <is>
          <t>VÄSTRA GÖTALANDS LÄN</t>
        </is>
      </c>
      <c r="E4399" t="inlineStr">
        <is>
          <t>DALS-ED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53764-2020</t>
        </is>
      </c>
      <c r="B4400" s="1" t="n">
        <v>44124</v>
      </c>
      <c r="C4400" s="1" t="n">
        <v>45586</v>
      </c>
      <c r="D4400" t="inlineStr">
        <is>
          <t>VÄSTRA GÖTALANDS LÄN</t>
        </is>
      </c>
      <c r="E4400" t="inlineStr">
        <is>
          <t>GÖTENE</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53779-2020</t>
        </is>
      </c>
      <c r="B4401" s="1" t="n">
        <v>44124</v>
      </c>
      <c r="C4401" s="1" t="n">
        <v>45586</v>
      </c>
      <c r="D4401" t="inlineStr">
        <is>
          <t>VÄSTRA GÖTALANDS LÄN</t>
        </is>
      </c>
      <c r="E4401" t="inlineStr">
        <is>
          <t>LIDKÖPING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53749-2020</t>
        </is>
      </c>
      <c r="B4402" s="1" t="n">
        <v>44124</v>
      </c>
      <c r="C4402" s="1" t="n">
        <v>45586</v>
      </c>
      <c r="D4402" t="inlineStr">
        <is>
          <t>VÄSTRA GÖTALANDS LÄN</t>
        </is>
      </c>
      <c r="E4402" t="inlineStr">
        <is>
          <t>TROLLHÄTTAN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54251-2020</t>
        </is>
      </c>
      <c r="B4403" s="1" t="n">
        <v>44124</v>
      </c>
      <c r="C4403" s="1" t="n">
        <v>45586</v>
      </c>
      <c r="D4403" t="inlineStr">
        <is>
          <t>VÄSTRA GÖTALANDS LÄN</t>
        </is>
      </c>
      <c r="E4403" t="inlineStr">
        <is>
          <t>STRÖMSTAD</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54239-2020</t>
        </is>
      </c>
      <c r="B4404" s="1" t="n">
        <v>44124</v>
      </c>
      <c r="C4404" s="1" t="n">
        <v>45586</v>
      </c>
      <c r="D4404" t="inlineStr">
        <is>
          <t>VÄSTRA GÖTALANDS LÄN</t>
        </is>
      </c>
      <c r="E4404" t="inlineStr">
        <is>
          <t>STRÖMSTAD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53984-2020</t>
        </is>
      </c>
      <c r="B4405" s="1" t="n">
        <v>44125</v>
      </c>
      <c r="C4405" s="1" t="n">
        <v>45586</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53999-2020</t>
        </is>
      </c>
      <c r="B4406" s="1" t="n">
        <v>44125</v>
      </c>
      <c r="C4406" s="1" t="n">
        <v>45586</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54169-2020</t>
        </is>
      </c>
      <c r="B4407" s="1" t="n">
        <v>44125</v>
      </c>
      <c r="C4407" s="1" t="n">
        <v>45586</v>
      </c>
      <c r="D4407" t="inlineStr">
        <is>
          <t>VÄSTRA GÖTALANDS LÄN</t>
        </is>
      </c>
      <c r="E4407" t="inlineStr">
        <is>
          <t>HERRLJUNGA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53997-2020</t>
        </is>
      </c>
      <c r="B4408" s="1" t="n">
        <v>44125</v>
      </c>
      <c r="C4408" s="1" t="n">
        <v>45586</v>
      </c>
      <c r="D4408" t="inlineStr">
        <is>
          <t>VÄSTRA GÖTALANDS LÄN</t>
        </is>
      </c>
      <c r="E4408" t="inlineStr">
        <is>
          <t>TANUM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54123-2020</t>
        </is>
      </c>
      <c r="B4409" s="1" t="n">
        <v>44125</v>
      </c>
      <c r="C4409" s="1" t="n">
        <v>45586</v>
      </c>
      <c r="D4409" t="inlineStr">
        <is>
          <t>VÄSTRA GÖTALANDS LÄN</t>
        </is>
      </c>
      <c r="E4409" t="inlineStr">
        <is>
          <t>GRÄSTORP</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54122-2020</t>
        </is>
      </c>
      <c r="B4410" s="1" t="n">
        <v>44125</v>
      </c>
      <c r="C4410" s="1" t="n">
        <v>45586</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54971-2020</t>
        </is>
      </c>
      <c r="B4411" s="1" t="n">
        <v>44125</v>
      </c>
      <c r="C4411" s="1" t="n">
        <v>45586</v>
      </c>
      <c r="D4411" t="inlineStr">
        <is>
          <t>VÄSTRA GÖTALANDS LÄN</t>
        </is>
      </c>
      <c r="E4411" t="inlineStr">
        <is>
          <t>FALKÖPING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53913-2020</t>
        </is>
      </c>
      <c r="B4412" s="1" t="n">
        <v>44125</v>
      </c>
      <c r="C4412" s="1" t="n">
        <v>45586</v>
      </c>
      <c r="D4412" t="inlineStr">
        <is>
          <t>VÄSTRA GÖTALANDS LÄN</t>
        </is>
      </c>
      <c r="E4412" t="inlineStr">
        <is>
          <t>MUNKEDAL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54376-2020</t>
        </is>
      </c>
      <c r="B4413" s="1" t="n">
        <v>44126</v>
      </c>
      <c r="C4413" s="1" t="n">
        <v>45586</v>
      </c>
      <c r="D4413" t="inlineStr">
        <is>
          <t>VÄSTRA GÖTALANDS LÄN</t>
        </is>
      </c>
      <c r="E4413" t="inlineStr">
        <is>
          <t>TRANEMO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54470-2020</t>
        </is>
      </c>
      <c r="B4414" s="1" t="n">
        <v>44126</v>
      </c>
      <c r="C4414" s="1" t="n">
        <v>45586</v>
      </c>
      <c r="D4414" t="inlineStr">
        <is>
          <t>VÄSTRA GÖTALANDS LÄN</t>
        </is>
      </c>
      <c r="E4414" t="inlineStr">
        <is>
          <t>TIBRO</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54400-2020</t>
        </is>
      </c>
      <c r="B4415" s="1" t="n">
        <v>44126</v>
      </c>
      <c r="C4415" s="1" t="n">
        <v>45586</v>
      </c>
      <c r="D4415" t="inlineStr">
        <is>
          <t>VÄSTRA GÖTALANDS LÄN</t>
        </is>
      </c>
      <c r="E4415" t="inlineStr">
        <is>
          <t>FALKÖPING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54433-2020</t>
        </is>
      </c>
      <c r="B4416" s="1" t="n">
        <v>44126</v>
      </c>
      <c r="C4416" s="1" t="n">
        <v>45586</v>
      </c>
      <c r="D4416" t="inlineStr">
        <is>
          <t>VÄSTRA GÖTALANDS LÄN</t>
        </is>
      </c>
      <c r="E4416" t="inlineStr">
        <is>
          <t>VÅRGÅRDA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54467-2020</t>
        </is>
      </c>
      <c r="B4417" s="1" t="n">
        <v>44126</v>
      </c>
      <c r="C4417" s="1" t="n">
        <v>45586</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54857-2020</t>
        </is>
      </c>
      <c r="B4418" s="1" t="n">
        <v>44126</v>
      </c>
      <c r="C4418" s="1" t="n">
        <v>45586</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54599-2020</t>
        </is>
      </c>
      <c r="B4419" s="1" t="n">
        <v>44127</v>
      </c>
      <c r="C4419" s="1" t="n">
        <v>45586</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54752-2020</t>
        </is>
      </c>
      <c r="B4420" s="1" t="n">
        <v>44127</v>
      </c>
      <c r="C4420" s="1" t="n">
        <v>45586</v>
      </c>
      <c r="D4420" t="inlineStr">
        <is>
          <t>VÄSTRA GÖTALANDS LÄN</t>
        </is>
      </c>
      <c r="E4420" t="inlineStr">
        <is>
          <t>STENUNGSUND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54808-2020</t>
        </is>
      </c>
      <c r="B4421" s="1" t="n">
        <v>44127</v>
      </c>
      <c r="C4421" s="1" t="n">
        <v>45586</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54797-2020</t>
        </is>
      </c>
      <c r="B4422" s="1" t="n">
        <v>44127</v>
      </c>
      <c r="C4422" s="1" t="n">
        <v>45586</v>
      </c>
      <c r="D4422" t="inlineStr">
        <is>
          <t>VÄSTRA GÖTALANDS LÄN</t>
        </is>
      </c>
      <c r="E4422" t="inlineStr">
        <is>
          <t>LERUM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54935-2020</t>
        </is>
      </c>
      <c r="B4423" s="1" t="n">
        <v>44127</v>
      </c>
      <c r="C4423" s="1" t="n">
        <v>45586</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54758-2020</t>
        </is>
      </c>
      <c r="B4424" s="1" t="n">
        <v>44127</v>
      </c>
      <c r="C4424" s="1" t="n">
        <v>45586</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54610-2020</t>
        </is>
      </c>
      <c r="B4425" s="1" t="n">
        <v>44127</v>
      </c>
      <c r="C4425" s="1" t="n">
        <v>45586</v>
      </c>
      <c r="D4425" t="inlineStr">
        <is>
          <t>VÄSTRA GÖTALANDS LÄN</t>
        </is>
      </c>
      <c r="E4425" t="inlineStr">
        <is>
          <t>SVENLJUNGA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54898-2020</t>
        </is>
      </c>
      <c r="B4426" s="1" t="n">
        <v>44128</v>
      </c>
      <c r="C4426" s="1" t="n">
        <v>45586</v>
      </c>
      <c r="D4426" t="inlineStr">
        <is>
          <t>VÄSTRA GÖTALANDS LÄN</t>
        </is>
      </c>
      <c r="E4426" t="inlineStr">
        <is>
          <t>SKARA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54892-2020</t>
        </is>
      </c>
      <c r="B4427" s="1" t="n">
        <v>44128</v>
      </c>
      <c r="C4427" s="1" t="n">
        <v>45586</v>
      </c>
      <c r="D4427" t="inlineStr">
        <is>
          <t>VÄSTRA GÖTALANDS LÄN</t>
        </is>
      </c>
      <c r="E4427" t="inlineStr">
        <is>
          <t>BOLLEBYGD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54904-2020</t>
        </is>
      </c>
      <c r="B4428" s="1" t="n">
        <v>44128</v>
      </c>
      <c r="C4428" s="1" t="n">
        <v>45586</v>
      </c>
      <c r="D4428" t="inlineStr">
        <is>
          <t>VÄSTRA GÖTALANDS LÄN</t>
        </is>
      </c>
      <c r="E4428" t="inlineStr">
        <is>
          <t>VÄNERSBORG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54899-2020</t>
        </is>
      </c>
      <c r="B4429" s="1" t="n">
        <v>44128</v>
      </c>
      <c r="C4429" s="1" t="n">
        <v>45586</v>
      </c>
      <c r="D4429" t="inlineStr">
        <is>
          <t>VÄSTRA GÖTALANDS LÄN</t>
        </is>
      </c>
      <c r="E4429" t="inlineStr">
        <is>
          <t>SKARA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54938-2020</t>
        </is>
      </c>
      <c r="B4430" s="1" t="n">
        <v>44129</v>
      </c>
      <c r="C4430" s="1" t="n">
        <v>45586</v>
      </c>
      <c r="D4430" t="inlineStr">
        <is>
          <t>VÄSTRA GÖTALANDS LÄN</t>
        </is>
      </c>
      <c r="E4430" t="inlineStr">
        <is>
          <t>TIDAHOLM</t>
        </is>
      </c>
      <c r="F4430" t="inlineStr">
        <is>
          <t>Kyrkan</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54949-2020</t>
        </is>
      </c>
      <c r="B4431" s="1" t="n">
        <v>44129</v>
      </c>
      <c r="C4431" s="1" t="n">
        <v>45586</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54948-2020</t>
        </is>
      </c>
      <c r="B4432" s="1" t="n">
        <v>44129</v>
      </c>
      <c r="C4432" s="1" t="n">
        <v>45586</v>
      </c>
      <c r="D4432" t="inlineStr">
        <is>
          <t>VÄSTRA GÖTALANDS LÄN</t>
        </is>
      </c>
      <c r="E4432" t="inlineStr">
        <is>
          <t>MUNKEDAL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55172-2020</t>
        </is>
      </c>
      <c r="B4433" s="1" t="n">
        <v>44129</v>
      </c>
      <c r="C4433" s="1" t="n">
        <v>45586</v>
      </c>
      <c r="D4433" t="inlineStr">
        <is>
          <t>VÄSTRA GÖTALANDS LÄN</t>
        </is>
      </c>
      <c r="E4433" t="inlineStr">
        <is>
          <t>STRÖMSTAD</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55132-2020</t>
        </is>
      </c>
      <c r="B4434" s="1" t="n">
        <v>44130</v>
      </c>
      <c r="C4434" s="1" t="n">
        <v>45586</v>
      </c>
      <c r="D4434" t="inlineStr">
        <is>
          <t>VÄSTRA GÖTALANDS LÄN</t>
        </is>
      </c>
      <c r="E4434" t="inlineStr">
        <is>
          <t>GULLSPÅNG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55202-2020</t>
        </is>
      </c>
      <c r="B4435" s="1" t="n">
        <v>44130</v>
      </c>
      <c r="C4435" s="1" t="n">
        <v>45586</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55277-2020</t>
        </is>
      </c>
      <c r="B4436" s="1" t="n">
        <v>44130</v>
      </c>
      <c r="C4436" s="1" t="n">
        <v>45586</v>
      </c>
      <c r="D4436" t="inlineStr">
        <is>
          <t>VÄSTRA GÖTALANDS LÄN</t>
        </is>
      </c>
      <c r="E4436" t="inlineStr">
        <is>
          <t>LILLA EDET</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55286-2020</t>
        </is>
      </c>
      <c r="B4437" s="1" t="n">
        <v>44130</v>
      </c>
      <c r="C4437" s="1" t="n">
        <v>45586</v>
      </c>
      <c r="D4437" t="inlineStr">
        <is>
          <t>VÄSTRA GÖTALANDS LÄN</t>
        </is>
      </c>
      <c r="E4437" t="inlineStr">
        <is>
          <t>SVENLJUNGA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55296-2020</t>
        </is>
      </c>
      <c r="B4438" s="1" t="n">
        <v>44130</v>
      </c>
      <c r="C4438" s="1" t="n">
        <v>45586</v>
      </c>
      <c r="D4438" t="inlineStr">
        <is>
          <t>VÄSTRA GÖTALANDS LÄN</t>
        </is>
      </c>
      <c r="E4438" t="inlineStr">
        <is>
          <t>SVENLJUNGA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55292-2020</t>
        </is>
      </c>
      <c r="B4439" s="1" t="n">
        <v>44130</v>
      </c>
      <c r="C4439" s="1" t="n">
        <v>45586</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55295-2020</t>
        </is>
      </c>
      <c r="B4440" s="1" t="n">
        <v>44130</v>
      </c>
      <c r="C4440" s="1" t="n">
        <v>45586</v>
      </c>
      <c r="D4440" t="inlineStr">
        <is>
          <t>VÄSTRA GÖTALANDS LÄN</t>
        </is>
      </c>
      <c r="E4440" t="inlineStr">
        <is>
          <t>SVENLJUNGA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55432-2020</t>
        </is>
      </c>
      <c r="B4441" s="1" t="n">
        <v>44130</v>
      </c>
      <c r="C4441" s="1" t="n">
        <v>45586</v>
      </c>
      <c r="D4441" t="inlineStr">
        <is>
          <t>VÄSTRA GÖTALANDS LÄN</t>
        </is>
      </c>
      <c r="E4441" t="inlineStr">
        <is>
          <t>TIDAHOLM</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55453-2020</t>
        </is>
      </c>
      <c r="B4442" s="1" t="n">
        <v>44130</v>
      </c>
      <c r="C4442" s="1" t="n">
        <v>45586</v>
      </c>
      <c r="D4442" t="inlineStr">
        <is>
          <t>VÄSTRA GÖTALANDS LÄN</t>
        </is>
      </c>
      <c r="E4442" t="inlineStr">
        <is>
          <t>ESSUNGA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55385-2020</t>
        </is>
      </c>
      <c r="B4443" s="1" t="n">
        <v>44131</v>
      </c>
      <c r="C4443" s="1" t="n">
        <v>45586</v>
      </c>
      <c r="D4443" t="inlineStr">
        <is>
          <t>VÄSTRA GÖTALANDS LÄN</t>
        </is>
      </c>
      <c r="E4443" t="inlineStr">
        <is>
          <t>MARK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55479-2020</t>
        </is>
      </c>
      <c r="B4444" s="1" t="n">
        <v>44131</v>
      </c>
      <c r="C4444" s="1" t="n">
        <v>45586</v>
      </c>
      <c r="D4444" t="inlineStr">
        <is>
          <t>VÄSTRA GÖTALANDS LÄN</t>
        </is>
      </c>
      <c r="E4444" t="inlineStr">
        <is>
          <t>ALINGSÅS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55514-2020</t>
        </is>
      </c>
      <c r="B4445" s="1" t="n">
        <v>44131</v>
      </c>
      <c r="C4445" s="1" t="n">
        <v>45586</v>
      </c>
      <c r="D4445" t="inlineStr">
        <is>
          <t>VÄSTRA GÖTALANDS LÄN</t>
        </is>
      </c>
      <c r="E4445" t="inlineStr">
        <is>
          <t>MARK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55417-2020</t>
        </is>
      </c>
      <c r="B4446" s="1" t="n">
        <v>44131</v>
      </c>
      <c r="C4446" s="1" t="n">
        <v>45586</v>
      </c>
      <c r="D4446" t="inlineStr">
        <is>
          <t>VÄSTRA GÖTALANDS LÄN</t>
        </is>
      </c>
      <c r="E4446" t="inlineStr">
        <is>
          <t>TANUM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55596-2020</t>
        </is>
      </c>
      <c r="B4447" s="1" t="n">
        <v>44131</v>
      </c>
      <c r="C4447" s="1" t="n">
        <v>45586</v>
      </c>
      <c r="D4447" t="inlineStr">
        <is>
          <t>VÄSTRA GÖTALANDS LÄN</t>
        </is>
      </c>
      <c r="E4447" t="inlineStr">
        <is>
          <t>TANUM</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55555-2020</t>
        </is>
      </c>
      <c r="B4448" s="1" t="n">
        <v>44131</v>
      </c>
      <c r="C4448" s="1" t="n">
        <v>45586</v>
      </c>
      <c r="D4448" t="inlineStr">
        <is>
          <t>VÄSTRA GÖTALANDS LÄN</t>
        </is>
      </c>
      <c r="E4448" t="inlineStr">
        <is>
          <t>GULLSPÅNG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55366-2020</t>
        </is>
      </c>
      <c r="B4449" s="1" t="n">
        <v>44131</v>
      </c>
      <c r="C4449" s="1" t="n">
        <v>45586</v>
      </c>
      <c r="D4449" t="inlineStr">
        <is>
          <t>VÄSTRA GÖTALANDS LÄN</t>
        </is>
      </c>
      <c r="E4449" t="inlineStr">
        <is>
          <t>GRÄSTORP</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55517-2020</t>
        </is>
      </c>
      <c r="B4450" s="1" t="n">
        <v>44131</v>
      </c>
      <c r="C4450" s="1" t="n">
        <v>45586</v>
      </c>
      <c r="D4450" t="inlineStr">
        <is>
          <t>VÄSTRA GÖTALANDS LÄN</t>
        </is>
      </c>
      <c r="E4450" t="inlineStr">
        <is>
          <t>MARK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55504-2020</t>
        </is>
      </c>
      <c r="B4451" s="1" t="n">
        <v>44131</v>
      </c>
      <c r="C4451" s="1" t="n">
        <v>45586</v>
      </c>
      <c r="D4451" t="inlineStr">
        <is>
          <t>VÄSTRA GÖTALANDS LÄN</t>
        </is>
      </c>
      <c r="E4451" t="inlineStr">
        <is>
          <t>FALKÖPING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55525-2020</t>
        </is>
      </c>
      <c r="B4452" s="1" t="n">
        <v>44131</v>
      </c>
      <c r="C4452" s="1" t="n">
        <v>45586</v>
      </c>
      <c r="D4452" t="inlineStr">
        <is>
          <t>VÄSTRA GÖTALANDS LÄN</t>
        </is>
      </c>
      <c r="E4452" t="inlineStr">
        <is>
          <t>ALINGSÅS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55634-2020</t>
        </is>
      </c>
      <c r="B4453" s="1" t="n">
        <v>44131</v>
      </c>
      <c r="C4453" s="1" t="n">
        <v>45586</v>
      </c>
      <c r="D4453" t="inlineStr">
        <is>
          <t>VÄSTRA GÖTALANDS LÄN</t>
        </is>
      </c>
      <c r="E4453" t="inlineStr">
        <is>
          <t>FALKÖPING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55644-2020</t>
        </is>
      </c>
      <c r="B4454" s="1" t="n">
        <v>44131</v>
      </c>
      <c r="C4454" s="1" t="n">
        <v>45586</v>
      </c>
      <c r="D4454" t="inlineStr">
        <is>
          <t>VÄSTRA GÖTALANDS LÄN</t>
        </is>
      </c>
      <c r="E4454" t="inlineStr">
        <is>
          <t>SKÖVDE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56006-2020</t>
        </is>
      </c>
      <c r="B4455" s="1" t="n">
        <v>44131</v>
      </c>
      <c r="C4455" s="1" t="n">
        <v>45586</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55649-2020</t>
        </is>
      </c>
      <c r="B4456" s="1" t="n">
        <v>44131</v>
      </c>
      <c r="C4456" s="1" t="n">
        <v>45586</v>
      </c>
      <c r="D4456" t="inlineStr">
        <is>
          <t>VÄSTRA GÖTALANDS LÄN</t>
        </is>
      </c>
      <c r="E4456" t="inlineStr">
        <is>
          <t>LERUM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55792-2020</t>
        </is>
      </c>
      <c r="B4457" s="1" t="n">
        <v>44131</v>
      </c>
      <c r="C4457" s="1" t="n">
        <v>45586</v>
      </c>
      <c r="D4457" t="inlineStr">
        <is>
          <t>VÄSTRA GÖTALANDS LÄN</t>
        </is>
      </c>
      <c r="E4457" t="inlineStr">
        <is>
          <t>MELLERUD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56004-2020</t>
        </is>
      </c>
      <c r="B4458" s="1" t="n">
        <v>44131</v>
      </c>
      <c r="C4458" s="1" t="n">
        <v>45586</v>
      </c>
      <c r="D4458" t="inlineStr">
        <is>
          <t>VÄSTRA GÖTALANDS LÄN</t>
        </is>
      </c>
      <c r="E4458" t="inlineStr">
        <is>
          <t>TANUM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55584-2020</t>
        </is>
      </c>
      <c r="B4459" s="1" t="n">
        <v>44131</v>
      </c>
      <c r="C4459" s="1" t="n">
        <v>45586</v>
      </c>
      <c r="D4459" t="inlineStr">
        <is>
          <t>VÄSTRA GÖTALANDS LÄN</t>
        </is>
      </c>
      <c r="E4459" t="inlineStr">
        <is>
          <t>TIDAHOLM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55741-2020</t>
        </is>
      </c>
      <c r="B4460" s="1" t="n">
        <v>44132</v>
      </c>
      <c r="C4460" s="1" t="n">
        <v>45586</v>
      </c>
      <c r="D4460" t="inlineStr">
        <is>
          <t>VÄSTRA GÖTALANDS LÄN</t>
        </is>
      </c>
      <c r="E4460" t="inlineStr">
        <is>
          <t>BENGTSFORS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55771-2020</t>
        </is>
      </c>
      <c r="B4461" s="1" t="n">
        <v>44132</v>
      </c>
      <c r="C4461" s="1" t="n">
        <v>45586</v>
      </c>
      <c r="D4461" t="inlineStr">
        <is>
          <t>VÄSTRA GÖTALANDS LÄN</t>
        </is>
      </c>
      <c r="E4461" t="inlineStr">
        <is>
          <t>VÅRGÅRDA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55675-2020</t>
        </is>
      </c>
      <c r="B4462" s="1" t="n">
        <v>44132</v>
      </c>
      <c r="C4462" s="1" t="n">
        <v>45586</v>
      </c>
      <c r="D4462" t="inlineStr">
        <is>
          <t>VÄSTRA GÖTALANDS LÄN</t>
        </is>
      </c>
      <c r="E4462" t="inlineStr">
        <is>
          <t>TRANEMO</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55728-2020</t>
        </is>
      </c>
      <c r="B4463" s="1" t="n">
        <v>44132</v>
      </c>
      <c r="C4463" s="1" t="n">
        <v>45586</v>
      </c>
      <c r="D4463" t="inlineStr">
        <is>
          <t>VÄSTRA GÖTALANDS LÄN</t>
        </is>
      </c>
      <c r="E4463" t="inlineStr">
        <is>
          <t>DALS-ED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55763-2020</t>
        </is>
      </c>
      <c r="B4464" s="1" t="n">
        <v>44132</v>
      </c>
      <c r="C4464" s="1" t="n">
        <v>45586</v>
      </c>
      <c r="D4464" t="inlineStr">
        <is>
          <t>VÄSTRA GÖTALANDS LÄN</t>
        </is>
      </c>
      <c r="E4464" t="inlineStr">
        <is>
          <t>DALS-ED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55775-2020</t>
        </is>
      </c>
      <c r="B4465" s="1" t="n">
        <v>44132</v>
      </c>
      <c r="C4465" s="1" t="n">
        <v>45586</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55841-2020</t>
        </is>
      </c>
      <c r="B4466" s="1" t="n">
        <v>44132</v>
      </c>
      <c r="C4466" s="1" t="n">
        <v>45586</v>
      </c>
      <c r="D4466" t="inlineStr">
        <is>
          <t>VÄSTRA GÖTALANDS LÄN</t>
        </is>
      </c>
      <c r="E4466" t="inlineStr">
        <is>
          <t>SVENLJUNGA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55909-2020</t>
        </is>
      </c>
      <c r="B4467" s="1" t="n">
        <v>44132</v>
      </c>
      <c r="C4467" s="1" t="n">
        <v>45586</v>
      </c>
      <c r="D4467" t="inlineStr">
        <is>
          <t>VÄSTRA GÖTALANDS LÄN</t>
        </is>
      </c>
      <c r="E4467" t="inlineStr">
        <is>
          <t>BENGTSFORS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55919-2020</t>
        </is>
      </c>
      <c r="B4468" s="1" t="n">
        <v>44132</v>
      </c>
      <c r="C4468" s="1" t="n">
        <v>45586</v>
      </c>
      <c r="D4468" t="inlineStr">
        <is>
          <t>VÄSTRA GÖTALANDS LÄN</t>
        </is>
      </c>
      <c r="E4468" t="inlineStr">
        <is>
          <t>ULRICEHAMN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55814-2020</t>
        </is>
      </c>
      <c r="B4469" s="1" t="n">
        <v>44132</v>
      </c>
      <c r="C4469" s="1" t="n">
        <v>45586</v>
      </c>
      <c r="D4469" t="inlineStr">
        <is>
          <t>VÄSTRA GÖTALANDS LÄN</t>
        </is>
      </c>
      <c r="E4469" t="inlineStr">
        <is>
          <t>FÄRGELANDA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55938-2020</t>
        </is>
      </c>
      <c r="B4470" s="1" t="n">
        <v>44133</v>
      </c>
      <c r="C4470" s="1" t="n">
        <v>45586</v>
      </c>
      <c r="D4470" t="inlineStr">
        <is>
          <t>VÄSTRA GÖTALANDS LÄN</t>
        </is>
      </c>
      <c r="E4470" t="inlineStr">
        <is>
          <t>UDDEVALLA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55940-2020</t>
        </is>
      </c>
      <c r="B4471" s="1" t="n">
        <v>44133</v>
      </c>
      <c r="C4471" s="1" t="n">
        <v>45586</v>
      </c>
      <c r="D4471" t="inlineStr">
        <is>
          <t>VÄSTRA GÖTALANDS LÄN</t>
        </is>
      </c>
      <c r="E4471" t="inlineStr">
        <is>
          <t>DALS-ED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55977-2020</t>
        </is>
      </c>
      <c r="B4472" s="1" t="n">
        <v>44133</v>
      </c>
      <c r="C4472" s="1" t="n">
        <v>45586</v>
      </c>
      <c r="D4472" t="inlineStr">
        <is>
          <t>VÄSTRA GÖTALANDS LÄN</t>
        </is>
      </c>
      <c r="E4472" t="inlineStr">
        <is>
          <t>VÅRGÅRDA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55992-2020</t>
        </is>
      </c>
      <c r="B4473" s="1" t="n">
        <v>44133</v>
      </c>
      <c r="C4473" s="1" t="n">
        <v>45586</v>
      </c>
      <c r="D4473" t="inlineStr">
        <is>
          <t>VÄSTRA GÖTALANDS LÄN</t>
        </is>
      </c>
      <c r="E4473" t="inlineStr">
        <is>
          <t>SVENLJUNGA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56002-2020</t>
        </is>
      </c>
      <c r="B4474" s="1" t="n">
        <v>44133</v>
      </c>
      <c r="C4474" s="1" t="n">
        <v>45586</v>
      </c>
      <c r="D4474" t="inlineStr">
        <is>
          <t>VÄSTRA GÖTALANDS LÄN</t>
        </is>
      </c>
      <c r="E4474" t="inlineStr">
        <is>
          <t>SVENLJUNGA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56099-2020</t>
        </is>
      </c>
      <c r="B4475" s="1" t="n">
        <v>44133</v>
      </c>
      <c r="C4475" s="1" t="n">
        <v>45586</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55936-2020</t>
        </is>
      </c>
      <c r="B4476" s="1" t="n">
        <v>44133</v>
      </c>
      <c r="C4476" s="1" t="n">
        <v>45586</v>
      </c>
      <c r="D4476" t="inlineStr">
        <is>
          <t>VÄSTRA GÖTALANDS LÄN</t>
        </is>
      </c>
      <c r="E4476" t="inlineStr">
        <is>
          <t>TIDAHOLM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56016-2020</t>
        </is>
      </c>
      <c r="B4477" s="1" t="n">
        <v>44133</v>
      </c>
      <c r="C4477" s="1" t="n">
        <v>45586</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56282-2020</t>
        </is>
      </c>
      <c r="B4478" s="1" t="n">
        <v>44134</v>
      </c>
      <c r="C4478" s="1" t="n">
        <v>45586</v>
      </c>
      <c r="D4478" t="inlineStr">
        <is>
          <t>VÄSTRA GÖTALANDS LÄN</t>
        </is>
      </c>
      <c r="E4478" t="inlineStr">
        <is>
          <t>BENGTSFORS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56318-2020</t>
        </is>
      </c>
      <c r="B4479" s="1" t="n">
        <v>44134</v>
      </c>
      <c r="C4479" s="1" t="n">
        <v>45586</v>
      </c>
      <c r="D4479" t="inlineStr">
        <is>
          <t>VÄSTRA GÖTALANDS LÄN</t>
        </is>
      </c>
      <c r="E4479" t="inlineStr">
        <is>
          <t>BENGTSFORS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56345-2020</t>
        </is>
      </c>
      <c r="B4480" s="1" t="n">
        <v>44134</v>
      </c>
      <c r="C4480" s="1" t="n">
        <v>45586</v>
      </c>
      <c r="D4480" t="inlineStr">
        <is>
          <t>VÄSTRA GÖTALANDS LÄN</t>
        </is>
      </c>
      <c r="E4480" t="inlineStr">
        <is>
          <t>TIDAHOLM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56235-2020</t>
        </is>
      </c>
      <c r="B4481" s="1" t="n">
        <v>44134</v>
      </c>
      <c r="C4481" s="1" t="n">
        <v>45586</v>
      </c>
      <c r="D4481" t="inlineStr">
        <is>
          <t>VÄSTRA GÖTALANDS LÄN</t>
        </is>
      </c>
      <c r="E4481" t="inlineStr">
        <is>
          <t>ESSUNGA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56418-2020</t>
        </is>
      </c>
      <c r="B4482" s="1" t="n">
        <v>44137</v>
      </c>
      <c r="C4482" s="1" t="n">
        <v>45586</v>
      </c>
      <c r="D4482" t="inlineStr">
        <is>
          <t>VÄSTRA GÖTALANDS LÄN</t>
        </is>
      </c>
      <c r="E4482" t="inlineStr">
        <is>
          <t>MARK</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56433-2020</t>
        </is>
      </c>
      <c r="B4483" s="1" t="n">
        <v>44137</v>
      </c>
      <c r="C4483" s="1" t="n">
        <v>45586</v>
      </c>
      <c r="D4483" t="inlineStr">
        <is>
          <t>VÄSTRA GÖTALANDS LÄN</t>
        </is>
      </c>
      <c r="E4483" t="inlineStr">
        <is>
          <t>TANUM</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56550-2020</t>
        </is>
      </c>
      <c r="B4484" s="1" t="n">
        <v>44137</v>
      </c>
      <c r="C4484" s="1" t="n">
        <v>45586</v>
      </c>
      <c r="D4484" t="inlineStr">
        <is>
          <t>VÄSTRA GÖTALANDS LÄN</t>
        </is>
      </c>
      <c r="E4484" t="inlineStr">
        <is>
          <t>TANUM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56540-2020</t>
        </is>
      </c>
      <c r="B4485" s="1" t="n">
        <v>44137</v>
      </c>
      <c r="C4485" s="1" t="n">
        <v>45586</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56547-2020</t>
        </is>
      </c>
      <c r="B4486" s="1" t="n">
        <v>44137</v>
      </c>
      <c r="C4486" s="1" t="n">
        <v>45586</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56546-2020</t>
        </is>
      </c>
      <c r="B4487" s="1" t="n">
        <v>44137</v>
      </c>
      <c r="C4487" s="1" t="n">
        <v>45586</v>
      </c>
      <c r="D4487" t="inlineStr">
        <is>
          <t>VÄSTRA GÖTALANDS LÄN</t>
        </is>
      </c>
      <c r="E4487" t="inlineStr">
        <is>
          <t>BORÅS</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56693-2020</t>
        </is>
      </c>
      <c r="B4488" s="1" t="n">
        <v>44137</v>
      </c>
      <c r="C4488" s="1" t="n">
        <v>45586</v>
      </c>
      <c r="D4488" t="inlineStr">
        <is>
          <t>VÄSTRA GÖTALANDS LÄN</t>
        </is>
      </c>
      <c r="E4488" t="inlineStr">
        <is>
          <t>GULLSPÅNG</t>
        </is>
      </c>
      <c r="F4488" t="inlineStr">
        <is>
          <t>Kyrkan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56706-2020</t>
        </is>
      </c>
      <c r="B4489" s="1" t="n">
        <v>44137</v>
      </c>
      <c r="C4489" s="1" t="n">
        <v>45586</v>
      </c>
      <c r="D4489" t="inlineStr">
        <is>
          <t>VÄSTRA GÖTALANDS LÄN</t>
        </is>
      </c>
      <c r="E4489" t="inlineStr">
        <is>
          <t>TRANEMO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56931-2020</t>
        </is>
      </c>
      <c r="B4490" s="1" t="n">
        <v>44137</v>
      </c>
      <c r="C4490" s="1" t="n">
        <v>45586</v>
      </c>
      <c r="D4490" t="inlineStr">
        <is>
          <t>VÄSTRA GÖTALANDS LÄN</t>
        </is>
      </c>
      <c r="E4490" t="inlineStr">
        <is>
          <t>TÖREBODA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56698-2020</t>
        </is>
      </c>
      <c r="B4491" s="1" t="n">
        <v>44137</v>
      </c>
      <c r="C4491" s="1" t="n">
        <v>45586</v>
      </c>
      <c r="D4491" t="inlineStr">
        <is>
          <t>VÄSTRA GÖTALANDS LÄN</t>
        </is>
      </c>
      <c r="E4491" t="inlineStr">
        <is>
          <t>SKÖVDE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56721-2020</t>
        </is>
      </c>
      <c r="B4492" s="1" t="n">
        <v>44137</v>
      </c>
      <c r="C4492" s="1" t="n">
        <v>45586</v>
      </c>
      <c r="D4492" t="inlineStr">
        <is>
          <t>VÄSTRA GÖTALANDS LÄN</t>
        </is>
      </c>
      <c r="E4492" t="inlineStr">
        <is>
          <t>ULRICEHAMN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56928-2020</t>
        </is>
      </c>
      <c r="B4493" s="1" t="n">
        <v>44137</v>
      </c>
      <c r="C4493" s="1" t="n">
        <v>45586</v>
      </c>
      <c r="D4493" t="inlineStr">
        <is>
          <t>VÄSTRA GÖTALANDS LÄN</t>
        </is>
      </c>
      <c r="E4493" t="inlineStr">
        <is>
          <t>TÖREBODA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56937-2020</t>
        </is>
      </c>
      <c r="B4494" s="1" t="n">
        <v>44137</v>
      </c>
      <c r="C4494" s="1" t="n">
        <v>45586</v>
      </c>
      <c r="D4494" t="inlineStr">
        <is>
          <t>VÄSTRA GÖTALANDS LÄN</t>
        </is>
      </c>
      <c r="E4494" t="inlineStr">
        <is>
          <t>TÖREBODA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56953-2020</t>
        </is>
      </c>
      <c r="B4495" s="1" t="n">
        <v>44137</v>
      </c>
      <c r="C4495" s="1" t="n">
        <v>45586</v>
      </c>
      <c r="D4495" t="inlineStr">
        <is>
          <t>VÄSTRA GÖTALANDS LÄN</t>
        </is>
      </c>
      <c r="E4495" t="inlineStr">
        <is>
          <t>BORÅS</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57022-2020</t>
        </is>
      </c>
      <c r="B4496" s="1" t="n">
        <v>44137</v>
      </c>
      <c r="C4496" s="1" t="n">
        <v>45586</v>
      </c>
      <c r="D4496" t="inlineStr">
        <is>
          <t>VÄSTRA GÖTALANDS LÄN</t>
        </is>
      </c>
      <c r="E4496" t="inlineStr">
        <is>
          <t>LIDKÖPING</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56929-2020</t>
        </is>
      </c>
      <c r="B4497" s="1" t="n">
        <v>44137</v>
      </c>
      <c r="C4497" s="1" t="n">
        <v>45586</v>
      </c>
      <c r="D4497" t="inlineStr">
        <is>
          <t>VÄSTRA GÖTALANDS LÄN</t>
        </is>
      </c>
      <c r="E4497" t="inlineStr">
        <is>
          <t>TÖREBODA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56940-2020</t>
        </is>
      </c>
      <c r="B4498" s="1" t="n">
        <v>44137</v>
      </c>
      <c r="C4498" s="1" t="n">
        <v>45586</v>
      </c>
      <c r="D4498" t="inlineStr">
        <is>
          <t>VÄSTRA GÖTALANDS LÄN</t>
        </is>
      </c>
      <c r="E4498" t="inlineStr">
        <is>
          <t>TÖREBODA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56954-2020</t>
        </is>
      </c>
      <c r="B4499" s="1" t="n">
        <v>44137</v>
      </c>
      <c r="C4499" s="1" t="n">
        <v>45586</v>
      </c>
      <c r="D4499" t="inlineStr">
        <is>
          <t>VÄSTRA GÖTALANDS LÄN</t>
        </is>
      </c>
      <c r="E4499" t="inlineStr">
        <is>
          <t>VARA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56995-2020</t>
        </is>
      </c>
      <c r="B4500" s="1" t="n">
        <v>44137</v>
      </c>
      <c r="C4500" s="1" t="n">
        <v>45586</v>
      </c>
      <c r="D4500" t="inlineStr">
        <is>
          <t>VÄSTRA GÖTALANDS LÄN</t>
        </is>
      </c>
      <c r="E4500" t="inlineStr">
        <is>
          <t>SKARA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56922-2020</t>
        </is>
      </c>
      <c r="B4501" s="1" t="n">
        <v>44138</v>
      </c>
      <c r="C4501" s="1" t="n">
        <v>45586</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56925-2020</t>
        </is>
      </c>
      <c r="B4502" s="1" t="n">
        <v>44138</v>
      </c>
      <c r="C4502" s="1" t="n">
        <v>45586</v>
      </c>
      <c r="D4502" t="inlineStr">
        <is>
          <t>VÄSTRA GÖTALANDS LÄN</t>
        </is>
      </c>
      <c r="E4502" t="inlineStr">
        <is>
          <t>HERRLJUNGA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57062-2020</t>
        </is>
      </c>
      <c r="B4503" s="1" t="n">
        <v>44138</v>
      </c>
      <c r="C4503" s="1" t="n">
        <v>45586</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56920-2020</t>
        </is>
      </c>
      <c r="B4504" s="1" t="n">
        <v>44138</v>
      </c>
      <c r="C4504" s="1" t="n">
        <v>45586</v>
      </c>
      <c r="D4504" t="inlineStr">
        <is>
          <t>VÄSTRA GÖTALANDS LÄN</t>
        </is>
      </c>
      <c r="E4504" t="inlineStr">
        <is>
          <t>SVENLJUNGA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57121-2020</t>
        </is>
      </c>
      <c r="B4505" s="1" t="n">
        <v>44138</v>
      </c>
      <c r="C4505" s="1" t="n">
        <v>45586</v>
      </c>
      <c r="D4505" t="inlineStr">
        <is>
          <t>VÄSTRA GÖTALANDS LÄN</t>
        </is>
      </c>
      <c r="E4505" t="inlineStr">
        <is>
          <t>ULRICEHAMN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56888-2020</t>
        </is>
      </c>
      <c r="B4506" s="1" t="n">
        <v>44138</v>
      </c>
      <c r="C4506" s="1" t="n">
        <v>45586</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57050-2020</t>
        </is>
      </c>
      <c r="B4507" s="1" t="n">
        <v>44138</v>
      </c>
      <c r="C4507" s="1" t="n">
        <v>45586</v>
      </c>
      <c r="D4507" t="inlineStr">
        <is>
          <t>VÄSTRA GÖTALANDS LÄN</t>
        </is>
      </c>
      <c r="E4507" t="inlineStr">
        <is>
          <t>TROLLHÄTTAN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57067-2020</t>
        </is>
      </c>
      <c r="B4508" s="1" t="n">
        <v>44138</v>
      </c>
      <c r="C4508" s="1" t="n">
        <v>45586</v>
      </c>
      <c r="D4508" t="inlineStr">
        <is>
          <t>VÄSTRA GÖTALANDS LÄN</t>
        </is>
      </c>
      <c r="E4508" t="inlineStr">
        <is>
          <t>HÄRRYDA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57131-2020</t>
        </is>
      </c>
      <c r="B4509" s="1" t="n">
        <v>44139</v>
      </c>
      <c r="C4509" s="1" t="n">
        <v>45586</v>
      </c>
      <c r="D4509" t="inlineStr">
        <is>
          <t>VÄSTRA GÖTALANDS LÄN</t>
        </is>
      </c>
      <c r="E4509" t="inlineStr">
        <is>
          <t>LILLA EDET</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57217-2020</t>
        </is>
      </c>
      <c r="B4510" s="1" t="n">
        <v>44139</v>
      </c>
      <c r="C4510" s="1" t="n">
        <v>45586</v>
      </c>
      <c r="D4510" t="inlineStr">
        <is>
          <t>VÄSTRA GÖTALANDS LÄN</t>
        </is>
      </c>
      <c r="E4510" t="inlineStr">
        <is>
          <t>STRÖMSTAD</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57099-2020</t>
        </is>
      </c>
      <c r="B4511" s="1" t="n">
        <v>44139</v>
      </c>
      <c r="C4511" s="1" t="n">
        <v>45586</v>
      </c>
      <c r="D4511" t="inlineStr">
        <is>
          <t>VÄSTRA GÖTALANDS LÄN</t>
        </is>
      </c>
      <c r="E4511" t="inlineStr">
        <is>
          <t>MARIESTAD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57203-2020</t>
        </is>
      </c>
      <c r="B4512" s="1" t="n">
        <v>44139</v>
      </c>
      <c r="C4512" s="1" t="n">
        <v>45586</v>
      </c>
      <c r="D4512" t="inlineStr">
        <is>
          <t>VÄSTRA GÖTALANDS LÄN</t>
        </is>
      </c>
      <c r="E4512" t="inlineStr">
        <is>
          <t>ALINGSÅS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57201-2020</t>
        </is>
      </c>
      <c r="B4513" s="1" t="n">
        <v>44139</v>
      </c>
      <c r="C4513" s="1" t="n">
        <v>45586</v>
      </c>
      <c r="D4513" t="inlineStr">
        <is>
          <t>VÄSTRA GÖTALANDS LÄN</t>
        </is>
      </c>
      <c r="E4513" t="inlineStr">
        <is>
          <t>DALS-ED</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57207-2020</t>
        </is>
      </c>
      <c r="B4514" s="1" t="n">
        <v>44139</v>
      </c>
      <c r="C4514" s="1" t="n">
        <v>45586</v>
      </c>
      <c r="D4514" t="inlineStr">
        <is>
          <t>VÄSTRA GÖTALANDS LÄN</t>
        </is>
      </c>
      <c r="E4514" t="inlineStr">
        <is>
          <t>SKARA</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57323-2020</t>
        </is>
      </c>
      <c r="B4515" s="1" t="n">
        <v>44139</v>
      </c>
      <c r="C4515" s="1" t="n">
        <v>45586</v>
      </c>
      <c r="D4515" t="inlineStr">
        <is>
          <t>VÄSTRA GÖTALANDS LÄN</t>
        </is>
      </c>
      <c r="E4515" t="inlineStr">
        <is>
          <t>ÅMÅL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57349-2020</t>
        </is>
      </c>
      <c r="B4516" s="1" t="n">
        <v>44139</v>
      </c>
      <c r="C4516" s="1" t="n">
        <v>45586</v>
      </c>
      <c r="D4516" t="inlineStr">
        <is>
          <t>VÄSTRA GÖTALANDS LÄN</t>
        </is>
      </c>
      <c r="E4516" t="inlineStr">
        <is>
          <t>GÖTENE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57501-2020</t>
        </is>
      </c>
      <c r="B4517" s="1" t="n">
        <v>44139</v>
      </c>
      <c r="C4517" s="1" t="n">
        <v>45586</v>
      </c>
      <c r="D4517" t="inlineStr">
        <is>
          <t>VÄSTRA GÖTALANDS LÄN</t>
        </is>
      </c>
      <c r="E4517" t="inlineStr">
        <is>
          <t>TÖREBODA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57614-2020</t>
        </is>
      </c>
      <c r="B4518" s="1" t="n">
        <v>44139</v>
      </c>
      <c r="C4518" s="1" t="n">
        <v>45586</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57618-2020</t>
        </is>
      </c>
      <c r="B4519" s="1" t="n">
        <v>44139</v>
      </c>
      <c r="C4519" s="1" t="n">
        <v>45586</v>
      </c>
      <c r="D4519" t="inlineStr">
        <is>
          <t>VÄSTRA GÖTALANDS LÄN</t>
        </is>
      </c>
      <c r="E4519" t="inlineStr">
        <is>
          <t>MARIESTAD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57565-2020</t>
        </is>
      </c>
      <c r="B4520" s="1" t="n">
        <v>44139</v>
      </c>
      <c r="C4520" s="1" t="n">
        <v>45586</v>
      </c>
      <c r="D4520" t="inlineStr">
        <is>
          <t>VÄSTRA GÖTALANDS LÄN</t>
        </is>
      </c>
      <c r="E4520" t="inlineStr">
        <is>
          <t>TRANEMO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57560-2020</t>
        </is>
      </c>
      <c r="B4521" s="1" t="n">
        <v>44140</v>
      </c>
      <c r="C4521" s="1" t="n">
        <v>45586</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57628-2020</t>
        </is>
      </c>
      <c r="B4522" s="1" t="n">
        <v>44140</v>
      </c>
      <c r="C4522" s="1" t="n">
        <v>45586</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57538-2020</t>
        </is>
      </c>
      <c r="B4523" s="1" t="n">
        <v>44140</v>
      </c>
      <c r="C4523" s="1" t="n">
        <v>45586</v>
      </c>
      <c r="D4523" t="inlineStr">
        <is>
          <t>VÄSTRA GÖTALANDS LÄN</t>
        </is>
      </c>
      <c r="E4523" t="inlineStr">
        <is>
          <t>LIDKÖPING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57482-2020</t>
        </is>
      </c>
      <c r="B4524" s="1" t="n">
        <v>44140</v>
      </c>
      <c r="C4524" s="1" t="n">
        <v>45586</v>
      </c>
      <c r="D4524" t="inlineStr">
        <is>
          <t>VÄSTRA GÖTALANDS LÄN</t>
        </is>
      </c>
      <c r="E4524" t="inlineStr">
        <is>
          <t>LIDKÖPING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57487-2020</t>
        </is>
      </c>
      <c r="B4525" s="1" t="n">
        <v>44140</v>
      </c>
      <c r="C4525" s="1" t="n">
        <v>45586</v>
      </c>
      <c r="D4525" t="inlineStr">
        <is>
          <t>VÄSTRA GÖTALANDS LÄN</t>
        </is>
      </c>
      <c r="E4525" t="inlineStr">
        <is>
          <t>LIDKÖPING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57502-2020</t>
        </is>
      </c>
      <c r="B4526" s="1" t="n">
        <v>44140</v>
      </c>
      <c r="C4526" s="1" t="n">
        <v>45586</v>
      </c>
      <c r="D4526" t="inlineStr">
        <is>
          <t>VÄSTRA GÖTALANDS LÄN</t>
        </is>
      </c>
      <c r="E4526" t="inlineStr">
        <is>
          <t>LIDKÖPING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57536-2020</t>
        </is>
      </c>
      <c r="B4527" s="1" t="n">
        <v>44140</v>
      </c>
      <c r="C4527" s="1" t="n">
        <v>45586</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58244-2020</t>
        </is>
      </c>
      <c r="B4528" s="1" t="n">
        <v>44140</v>
      </c>
      <c r="C4528" s="1" t="n">
        <v>45586</v>
      </c>
      <c r="D4528" t="inlineStr">
        <is>
          <t>VÄSTRA GÖTALANDS LÄN</t>
        </is>
      </c>
      <c r="E4528" t="inlineStr">
        <is>
          <t>BORÅS</t>
        </is>
      </c>
      <c r="F4528" t="inlineStr">
        <is>
          <t>Kyrkan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57509-2020</t>
        </is>
      </c>
      <c r="B4529" s="1" t="n">
        <v>44140</v>
      </c>
      <c r="C4529" s="1" t="n">
        <v>45586</v>
      </c>
      <c r="D4529" t="inlineStr">
        <is>
          <t>VÄSTRA GÖTALANDS LÄN</t>
        </is>
      </c>
      <c r="E4529" t="inlineStr">
        <is>
          <t>LIDKÖPING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57815-2020</t>
        </is>
      </c>
      <c r="B4530" s="1" t="n">
        <v>44141</v>
      </c>
      <c r="C4530" s="1" t="n">
        <v>45586</v>
      </c>
      <c r="D4530" t="inlineStr">
        <is>
          <t>VÄSTRA GÖTALANDS LÄN</t>
        </is>
      </c>
      <c r="E4530" t="inlineStr">
        <is>
          <t>FALKÖPING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57810-2020</t>
        </is>
      </c>
      <c r="B4531" s="1" t="n">
        <v>44141</v>
      </c>
      <c r="C4531" s="1" t="n">
        <v>45586</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57894-2020</t>
        </is>
      </c>
      <c r="B4532" s="1" t="n">
        <v>44141</v>
      </c>
      <c r="C4532" s="1" t="n">
        <v>45586</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58334-2020</t>
        </is>
      </c>
      <c r="B4533" s="1" t="n">
        <v>44141</v>
      </c>
      <c r="C4533" s="1" t="n">
        <v>45586</v>
      </c>
      <c r="D4533" t="inlineStr">
        <is>
          <t>VÄSTRA GÖTALANDS LÄN</t>
        </is>
      </c>
      <c r="E4533" t="inlineStr">
        <is>
          <t>KUNGÄLV</t>
        </is>
      </c>
      <c r="F4533" t="inlineStr">
        <is>
          <t>Övriga statliga verk och myndigheter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58819-2020</t>
        </is>
      </c>
      <c r="B4534" s="1" t="n">
        <v>44141</v>
      </c>
      <c r="C4534" s="1" t="n">
        <v>45586</v>
      </c>
      <c r="D4534" t="inlineStr">
        <is>
          <t>VÄSTRA GÖTALANDS LÄN</t>
        </is>
      </c>
      <c r="E4534" t="inlineStr">
        <is>
          <t>ORUST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57953-2020</t>
        </is>
      </c>
      <c r="B4535" s="1" t="n">
        <v>44142</v>
      </c>
      <c r="C4535" s="1" t="n">
        <v>45586</v>
      </c>
      <c r="D4535" t="inlineStr">
        <is>
          <t>VÄSTRA GÖTALANDS LÄN</t>
        </is>
      </c>
      <c r="E4535" t="inlineStr">
        <is>
          <t>FALKÖPING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57952-2020</t>
        </is>
      </c>
      <c r="B4536" s="1" t="n">
        <v>44142</v>
      </c>
      <c r="C4536" s="1" t="n">
        <v>45586</v>
      </c>
      <c r="D4536" t="inlineStr">
        <is>
          <t>VÄSTRA GÖTALANDS LÄN</t>
        </is>
      </c>
      <c r="E4536" t="inlineStr">
        <is>
          <t>FALKÖPING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57982-2020</t>
        </is>
      </c>
      <c r="B4537" s="1" t="n">
        <v>44143</v>
      </c>
      <c r="C4537" s="1" t="n">
        <v>45586</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58052-2020</t>
        </is>
      </c>
      <c r="B4538" s="1" t="n">
        <v>44144</v>
      </c>
      <c r="C4538" s="1" t="n">
        <v>45586</v>
      </c>
      <c r="D4538" t="inlineStr">
        <is>
          <t>VÄSTRA GÖTALANDS LÄN</t>
        </is>
      </c>
      <c r="E4538" t="inlineStr">
        <is>
          <t>VÄNERSBORG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58167-2020</t>
        </is>
      </c>
      <c r="B4539" s="1" t="n">
        <v>44144</v>
      </c>
      <c r="C4539" s="1" t="n">
        <v>45586</v>
      </c>
      <c r="D4539" t="inlineStr">
        <is>
          <t>VÄSTRA GÖTALANDS LÄN</t>
        </is>
      </c>
      <c r="E4539" t="inlineStr">
        <is>
          <t>KARLSBORG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58217-2020</t>
        </is>
      </c>
      <c r="B4540" s="1" t="n">
        <v>44144</v>
      </c>
      <c r="C4540" s="1" t="n">
        <v>45586</v>
      </c>
      <c r="D4540" t="inlineStr">
        <is>
          <t>VÄSTRA GÖTALANDS LÄN</t>
        </is>
      </c>
      <c r="E4540" t="inlineStr">
        <is>
          <t>ESSUNGA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58181-2020</t>
        </is>
      </c>
      <c r="B4541" s="1" t="n">
        <v>44144</v>
      </c>
      <c r="C4541" s="1" t="n">
        <v>45586</v>
      </c>
      <c r="D4541" t="inlineStr">
        <is>
          <t>VÄSTRA GÖTALANDS LÄN</t>
        </is>
      </c>
      <c r="E4541" t="inlineStr">
        <is>
          <t>KARLSBORG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58099-2020</t>
        </is>
      </c>
      <c r="B4542" s="1" t="n">
        <v>44144</v>
      </c>
      <c r="C4542" s="1" t="n">
        <v>45586</v>
      </c>
      <c r="D4542" t="inlineStr">
        <is>
          <t>VÄSTRA GÖTALANDS LÄN</t>
        </is>
      </c>
      <c r="E4542" t="inlineStr">
        <is>
          <t>ALE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58141-2020</t>
        </is>
      </c>
      <c r="B4543" s="1" t="n">
        <v>44144</v>
      </c>
      <c r="C4543" s="1" t="n">
        <v>45586</v>
      </c>
      <c r="D4543" t="inlineStr">
        <is>
          <t>VÄSTRA GÖTALANDS LÄN</t>
        </is>
      </c>
      <c r="E4543" t="inlineStr">
        <is>
          <t>LILLA EDET</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58166-2020</t>
        </is>
      </c>
      <c r="B4544" s="1" t="n">
        <v>44144</v>
      </c>
      <c r="C4544" s="1" t="n">
        <v>45586</v>
      </c>
      <c r="D4544" t="inlineStr">
        <is>
          <t>VÄSTRA GÖTALANDS LÄN</t>
        </is>
      </c>
      <c r="E4544" t="inlineStr">
        <is>
          <t>BENGTSFORS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58358-2020</t>
        </is>
      </c>
      <c r="B4545" s="1" t="n">
        <v>44144</v>
      </c>
      <c r="C4545" s="1" t="n">
        <v>45586</v>
      </c>
      <c r="D4545" t="inlineStr">
        <is>
          <t>VÄSTRA GÖTALANDS LÄN</t>
        </is>
      </c>
      <c r="E4545" t="inlineStr">
        <is>
          <t>MELLERUD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58361-2020</t>
        </is>
      </c>
      <c r="B4546" s="1" t="n">
        <v>44144</v>
      </c>
      <c r="C4546" s="1" t="n">
        <v>45586</v>
      </c>
      <c r="D4546" t="inlineStr">
        <is>
          <t>VÄSTRA GÖTALANDS LÄN</t>
        </is>
      </c>
      <c r="E4546" t="inlineStr">
        <is>
          <t>LIDKÖPING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58519-2020</t>
        </is>
      </c>
      <c r="B4547" s="1" t="n">
        <v>44144</v>
      </c>
      <c r="C4547" s="1" t="n">
        <v>45586</v>
      </c>
      <c r="D4547" t="inlineStr">
        <is>
          <t>VÄSTRA GÖTALANDS LÄN</t>
        </is>
      </c>
      <c r="E4547" t="inlineStr">
        <is>
          <t>VÄNERSBORG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58421-2020</t>
        </is>
      </c>
      <c r="B4548" s="1" t="n">
        <v>44144</v>
      </c>
      <c r="C4548" s="1" t="n">
        <v>45586</v>
      </c>
      <c r="D4548" t="inlineStr">
        <is>
          <t>VÄSTRA GÖTALANDS LÄN</t>
        </is>
      </c>
      <c r="E4548" t="inlineStr">
        <is>
          <t>GULLSPÅNG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58478-2020</t>
        </is>
      </c>
      <c r="B4549" s="1" t="n">
        <v>44145</v>
      </c>
      <c r="C4549" s="1" t="n">
        <v>45586</v>
      </c>
      <c r="D4549" t="inlineStr">
        <is>
          <t>VÄSTRA GÖTALANDS LÄN</t>
        </is>
      </c>
      <c r="E4549" t="inlineStr">
        <is>
          <t>LYSEKIL</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58426-2020</t>
        </is>
      </c>
      <c r="B4550" s="1" t="n">
        <v>44145</v>
      </c>
      <c r="C4550" s="1" t="n">
        <v>45586</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58482-2020</t>
        </is>
      </c>
      <c r="B4551" s="1" t="n">
        <v>44145</v>
      </c>
      <c r="C4551" s="1" t="n">
        <v>45586</v>
      </c>
      <c r="D4551" t="inlineStr">
        <is>
          <t>VÄSTRA GÖTALANDS LÄN</t>
        </is>
      </c>
      <c r="E4551" t="inlineStr">
        <is>
          <t>GRÄSTORP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58539-2020</t>
        </is>
      </c>
      <c r="B4552" s="1" t="n">
        <v>44145</v>
      </c>
      <c r="C4552" s="1" t="n">
        <v>45586</v>
      </c>
      <c r="D4552" t="inlineStr">
        <is>
          <t>VÄSTRA GÖTALANDS LÄN</t>
        </is>
      </c>
      <c r="E4552" t="inlineStr">
        <is>
          <t>ULRICEHAMN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58551-2020</t>
        </is>
      </c>
      <c r="B4553" s="1" t="n">
        <v>44145</v>
      </c>
      <c r="C4553" s="1" t="n">
        <v>45586</v>
      </c>
      <c r="D4553" t="inlineStr">
        <is>
          <t>VÄSTRA GÖTALANDS LÄN</t>
        </is>
      </c>
      <c r="E4553" t="inlineStr">
        <is>
          <t>BORÅS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58766-2020</t>
        </is>
      </c>
      <c r="B4554" s="1" t="n">
        <v>44145</v>
      </c>
      <c r="C4554" s="1" t="n">
        <v>45586</v>
      </c>
      <c r="D4554" t="inlineStr">
        <is>
          <t>VÄSTRA GÖTALANDS LÄN</t>
        </is>
      </c>
      <c r="E4554" t="inlineStr">
        <is>
          <t>LIDKÖPING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58712-2020</t>
        </is>
      </c>
      <c r="B4555" s="1" t="n">
        <v>44146</v>
      </c>
      <c r="C4555" s="1" t="n">
        <v>45586</v>
      </c>
      <c r="D4555" t="inlineStr">
        <is>
          <t>VÄSTRA GÖTALANDS LÄN</t>
        </is>
      </c>
      <c r="E4555" t="inlineStr">
        <is>
          <t>ÅMÅL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58878-2020</t>
        </is>
      </c>
      <c r="B4556" s="1" t="n">
        <v>44146</v>
      </c>
      <c r="C4556" s="1" t="n">
        <v>45586</v>
      </c>
      <c r="D4556" t="inlineStr">
        <is>
          <t>VÄSTRA GÖTALANDS LÄN</t>
        </is>
      </c>
      <c r="E4556" t="inlineStr">
        <is>
          <t>GULLSPÅNG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59004-2020</t>
        </is>
      </c>
      <c r="B4557" s="1" t="n">
        <v>44146</v>
      </c>
      <c r="C4557" s="1" t="n">
        <v>45586</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58996-2020</t>
        </is>
      </c>
      <c r="B4558" s="1" t="n">
        <v>44146</v>
      </c>
      <c r="C4558" s="1" t="n">
        <v>45586</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59071-2020</t>
        </is>
      </c>
      <c r="B4559" s="1" t="n">
        <v>44147</v>
      </c>
      <c r="C4559" s="1" t="n">
        <v>45586</v>
      </c>
      <c r="D4559" t="inlineStr">
        <is>
          <t>VÄSTRA GÖTALANDS LÄN</t>
        </is>
      </c>
      <c r="E4559" t="inlineStr">
        <is>
          <t>BENGTSFORS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59085-2020</t>
        </is>
      </c>
      <c r="B4560" s="1" t="n">
        <v>44147</v>
      </c>
      <c r="C4560" s="1" t="n">
        <v>45586</v>
      </c>
      <c r="D4560" t="inlineStr">
        <is>
          <t>VÄSTRA GÖTALANDS LÄN</t>
        </is>
      </c>
      <c r="E4560" t="inlineStr">
        <is>
          <t>UDDEVALLA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59138-2020</t>
        </is>
      </c>
      <c r="B4561" s="1" t="n">
        <v>44147</v>
      </c>
      <c r="C4561" s="1" t="n">
        <v>45586</v>
      </c>
      <c r="D4561" t="inlineStr">
        <is>
          <t>VÄSTRA GÖTALANDS LÄN</t>
        </is>
      </c>
      <c r="E4561" t="inlineStr">
        <is>
          <t>BENGTSFORS</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59045-2020</t>
        </is>
      </c>
      <c r="B4562" s="1" t="n">
        <v>44147</v>
      </c>
      <c r="C4562" s="1" t="n">
        <v>45586</v>
      </c>
      <c r="D4562" t="inlineStr">
        <is>
          <t>VÄSTRA GÖTALANDS LÄN</t>
        </is>
      </c>
      <c r="E4562" t="inlineStr">
        <is>
          <t>GÖTEBORG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59059-2020</t>
        </is>
      </c>
      <c r="B4563" s="1" t="n">
        <v>44147</v>
      </c>
      <c r="C4563" s="1" t="n">
        <v>45586</v>
      </c>
      <c r="D4563" t="inlineStr">
        <is>
          <t>VÄSTRA GÖTALANDS LÄN</t>
        </is>
      </c>
      <c r="E4563" t="inlineStr">
        <is>
          <t>ALINGSÅS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59205-2020</t>
        </is>
      </c>
      <c r="B4564" s="1" t="n">
        <v>44147</v>
      </c>
      <c r="C4564" s="1" t="n">
        <v>45586</v>
      </c>
      <c r="D4564" t="inlineStr">
        <is>
          <t>VÄSTRA GÖTALANDS LÄN</t>
        </is>
      </c>
      <c r="E4564" t="inlineStr">
        <is>
          <t>BENGTSFORS</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59217-2020</t>
        </is>
      </c>
      <c r="B4565" s="1" t="n">
        <v>44147</v>
      </c>
      <c r="C4565" s="1" t="n">
        <v>45586</v>
      </c>
      <c r="D4565" t="inlineStr">
        <is>
          <t>VÄSTRA GÖTALANDS LÄN</t>
        </is>
      </c>
      <c r="E4565" t="inlineStr">
        <is>
          <t>TRANEMO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59232-2020</t>
        </is>
      </c>
      <c r="B4566" s="1" t="n">
        <v>44147</v>
      </c>
      <c r="C4566" s="1" t="n">
        <v>45586</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59274-2020</t>
        </is>
      </c>
      <c r="B4567" s="1" t="n">
        <v>44147</v>
      </c>
      <c r="C4567" s="1" t="n">
        <v>45586</v>
      </c>
      <c r="D4567" t="inlineStr">
        <is>
          <t>VÄSTRA GÖTALANDS LÄN</t>
        </is>
      </c>
      <c r="E4567" t="inlineStr">
        <is>
          <t>SKARA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59250-2020</t>
        </is>
      </c>
      <c r="B4568" s="1" t="n">
        <v>44147</v>
      </c>
      <c r="C4568" s="1" t="n">
        <v>45586</v>
      </c>
      <c r="D4568" t="inlineStr">
        <is>
          <t>VÄSTRA GÖTALANDS LÄN</t>
        </is>
      </c>
      <c r="E4568" t="inlineStr">
        <is>
          <t>ULRICEHAMN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59320-2020</t>
        </is>
      </c>
      <c r="B4569" s="1" t="n">
        <v>44147</v>
      </c>
      <c r="C4569" s="1" t="n">
        <v>45586</v>
      </c>
      <c r="D4569" t="inlineStr">
        <is>
          <t>VÄSTRA GÖTALANDS LÄN</t>
        </is>
      </c>
      <c r="E4569" t="inlineStr">
        <is>
          <t>ESSUNGA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59375-2020</t>
        </is>
      </c>
      <c r="B4570" s="1" t="n">
        <v>44148</v>
      </c>
      <c r="C4570" s="1" t="n">
        <v>45586</v>
      </c>
      <c r="D4570" t="inlineStr">
        <is>
          <t>VÄSTRA GÖTALANDS LÄN</t>
        </is>
      </c>
      <c r="E4570" t="inlineStr">
        <is>
          <t>BORÅS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59498-2020</t>
        </is>
      </c>
      <c r="B4571" s="1" t="n">
        <v>44148</v>
      </c>
      <c r="C4571" s="1" t="n">
        <v>45586</v>
      </c>
      <c r="D4571" t="inlineStr">
        <is>
          <t>VÄSTRA GÖTALANDS LÄN</t>
        </is>
      </c>
      <c r="E4571" t="inlineStr">
        <is>
          <t>SKARA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59387-2020</t>
        </is>
      </c>
      <c r="B4572" s="1" t="n">
        <v>44148</v>
      </c>
      <c r="C4572" s="1" t="n">
        <v>45586</v>
      </c>
      <c r="D4572" t="inlineStr">
        <is>
          <t>VÄSTRA GÖTALANDS LÄN</t>
        </is>
      </c>
      <c r="E4572" t="inlineStr">
        <is>
          <t>TÖREBODA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59497-2020</t>
        </is>
      </c>
      <c r="B4573" s="1" t="n">
        <v>44148</v>
      </c>
      <c r="C4573" s="1" t="n">
        <v>45586</v>
      </c>
      <c r="D4573" t="inlineStr">
        <is>
          <t>VÄSTRA GÖTALANDS LÄN</t>
        </is>
      </c>
      <c r="E4573" t="inlineStr">
        <is>
          <t>SKARA</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59544-2020</t>
        </is>
      </c>
      <c r="B4574" s="1" t="n">
        <v>44148</v>
      </c>
      <c r="C4574" s="1" t="n">
        <v>45586</v>
      </c>
      <c r="D4574" t="inlineStr">
        <is>
          <t>VÄSTRA GÖTALANDS LÄN</t>
        </is>
      </c>
      <c r="E4574" t="inlineStr">
        <is>
          <t>VÅRGÅRDA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59726-2020</t>
        </is>
      </c>
      <c r="B4575" s="1" t="n">
        <v>44151</v>
      </c>
      <c r="C4575" s="1" t="n">
        <v>45586</v>
      </c>
      <c r="D4575" t="inlineStr">
        <is>
          <t>VÄSTRA GÖTALANDS LÄN</t>
        </is>
      </c>
      <c r="E4575" t="inlineStr">
        <is>
          <t>ÅMÅL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59650-2020</t>
        </is>
      </c>
      <c r="B4576" s="1" t="n">
        <v>44151</v>
      </c>
      <c r="C4576" s="1" t="n">
        <v>45586</v>
      </c>
      <c r="D4576" t="inlineStr">
        <is>
          <t>VÄSTRA GÖTALANDS LÄN</t>
        </is>
      </c>
      <c r="E4576" t="inlineStr">
        <is>
          <t>GÖTENE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59791-2020</t>
        </is>
      </c>
      <c r="B4577" s="1" t="n">
        <v>44151</v>
      </c>
      <c r="C4577" s="1" t="n">
        <v>45586</v>
      </c>
      <c r="D4577" t="inlineStr">
        <is>
          <t>VÄSTRA GÖTALANDS LÄN</t>
        </is>
      </c>
      <c r="E4577" t="inlineStr">
        <is>
          <t>VARA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59651-2020</t>
        </is>
      </c>
      <c r="B4578" s="1" t="n">
        <v>44151</v>
      </c>
      <c r="C4578" s="1" t="n">
        <v>45586</v>
      </c>
      <c r="D4578" t="inlineStr">
        <is>
          <t>VÄSTRA GÖTALANDS LÄN</t>
        </is>
      </c>
      <c r="E4578" t="inlineStr">
        <is>
          <t>GÖTENE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59842-2020</t>
        </is>
      </c>
      <c r="B4579" s="1" t="n">
        <v>44151</v>
      </c>
      <c r="C4579" s="1" t="n">
        <v>45586</v>
      </c>
      <c r="D4579" t="inlineStr">
        <is>
          <t>VÄSTRA GÖTALANDS LÄN</t>
        </is>
      </c>
      <c r="E4579" t="inlineStr">
        <is>
          <t>SVENLJUNGA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59958-2020</t>
        </is>
      </c>
      <c r="B4580" s="1" t="n">
        <v>44151</v>
      </c>
      <c r="C4580" s="1" t="n">
        <v>45586</v>
      </c>
      <c r="D4580" t="inlineStr">
        <is>
          <t>VÄSTRA GÖTALANDS LÄN</t>
        </is>
      </c>
      <c r="E4580" t="inlineStr">
        <is>
          <t>TROLLHÄTTAN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59798-2020</t>
        </is>
      </c>
      <c r="B4581" s="1" t="n">
        <v>44151</v>
      </c>
      <c r="C4581" s="1" t="n">
        <v>45586</v>
      </c>
      <c r="D4581" t="inlineStr">
        <is>
          <t>VÄSTRA GÖTALANDS LÄN</t>
        </is>
      </c>
      <c r="E4581" t="inlineStr">
        <is>
          <t>VARA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59810-2020</t>
        </is>
      </c>
      <c r="B4582" s="1" t="n">
        <v>44151</v>
      </c>
      <c r="C4582" s="1" t="n">
        <v>45586</v>
      </c>
      <c r="D4582" t="inlineStr">
        <is>
          <t>VÄSTRA GÖTALANDS LÄN</t>
        </is>
      </c>
      <c r="E4582" t="inlineStr">
        <is>
          <t>STRÖMSTAD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59943-2020</t>
        </is>
      </c>
      <c r="B4583" s="1" t="n">
        <v>44151</v>
      </c>
      <c r="C4583" s="1" t="n">
        <v>45586</v>
      </c>
      <c r="D4583" t="inlineStr">
        <is>
          <t>VÄSTRA GÖTALANDS LÄN</t>
        </is>
      </c>
      <c r="E4583" t="inlineStr">
        <is>
          <t>DALS-ED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59974-2020</t>
        </is>
      </c>
      <c r="B4584" s="1" t="n">
        <v>44151</v>
      </c>
      <c r="C4584" s="1" t="n">
        <v>45586</v>
      </c>
      <c r="D4584" t="inlineStr">
        <is>
          <t>VÄSTRA GÖTALANDS LÄN</t>
        </is>
      </c>
      <c r="E4584" t="inlineStr">
        <is>
          <t>STRÖMSTAD</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60280-2020</t>
        </is>
      </c>
      <c r="B4585" s="1" t="n">
        <v>44151</v>
      </c>
      <c r="C4585" s="1" t="n">
        <v>45586</v>
      </c>
      <c r="D4585" t="inlineStr">
        <is>
          <t>VÄSTRA GÖTALANDS LÄN</t>
        </is>
      </c>
      <c r="E4585" t="inlineStr">
        <is>
          <t>TANUM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60283-2020</t>
        </is>
      </c>
      <c r="B4586" s="1" t="n">
        <v>44151</v>
      </c>
      <c r="C4586" s="1" t="n">
        <v>45586</v>
      </c>
      <c r="D4586" t="inlineStr">
        <is>
          <t>VÄSTRA GÖTALANDS LÄN</t>
        </is>
      </c>
      <c r="E4586" t="inlineStr">
        <is>
          <t>TANUM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60123-2020</t>
        </is>
      </c>
      <c r="B4587" s="1" t="n">
        <v>44152</v>
      </c>
      <c r="C4587" s="1" t="n">
        <v>45586</v>
      </c>
      <c r="D4587" t="inlineStr">
        <is>
          <t>VÄSTRA GÖTALANDS LÄN</t>
        </is>
      </c>
      <c r="E4587" t="inlineStr">
        <is>
          <t>BENGTSFORS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60173-2020</t>
        </is>
      </c>
      <c r="B4588" s="1" t="n">
        <v>44152</v>
      </c>
      <c r="C4588" s="1" t="n">
        <v>45586</v>
      </c>
      <c r="D4588" t="inlineStr">
        <is>
          <t>VÄSTRA GÖTALANDS LÄN</t>
        </is>
      </c>
      <c r="E4588" t="inlineStr">
        <is>
          <t>MARIESTAD</t>
        </is>
      </c>
      <c r="G4588" t="n">
        <v>9.4</v>
      </c>
      <c r="H4588" t="n">
        <v>0</v>
      </c>
      <c r="I4588" t="n">
        <v>0</v>
      </c>
      <c r="J4588" t="n">
        <v>0</v>
      </c>
      <c r="K4588" t="n">
        <v>0</v>
      </c>
      <c r="L4588" t="n">
        <v>0</v>
      </c>
      <c r="M4588" t="n">
        <v>0</v>
      </c>
      <c r="N4588" t="n">
        <v>0</v>
      </c>
      <c r="O4588" t="n">
        <v>0</v>
      </c>
      <c r="P4588" t="n">
        <v>0</v>
      </c>
      <c r="Q4588" t="n">
        <v>0</v>
      </c>
      <c r="R4588" s="2" t="inlineStr"/>
    </row>
    <row r="4589" ht="15" customHeight="1">
      <c r="A4589" t="inlineStr">
        <is>
          <t>A 60207-2020</t>
        </is>
      </c>
      <c r="B4589" s="1" t="n">
        <v>44152</v>
      </c>
      <c r="C4589" s="1" t="n">
        <v>45586</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60233-2020</t>
        </is>
      </c>
      <c r="B4590" s="1" t="n">
        <v>44152</v>
      </c>
      <c r="C4590" s="1" t="n">
        <v>45586</v>
      </c>
      <c r="D4590" t="inlineStr">
        <is>
          <t>VÄSTRA GÖTALANDS LÄN</t>
        </is>
      </c>
      <c r="E4590" t="inlineStr">
        <is>
          <t>TRANEMO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60339-2020</t>
        </is>
      </c>
      <c r="B4591" s="1" t="n">
        <v>44152</v>
      </c>
      <c r="C4591" s="1" t="n">
        <v>45586</v>
      </c>
      <c r="D4591" t="inlineStr">
        <is>
          <t>VÄSTRA GÖTALANDS LÄN</t>
        </is>
      </c>
      <c r="E4591" t="inlineStr">
        <is>
          <t>SKÖVDE</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60209-2020</t>
        </is>
      </c>
      <c r="B4592" s="1" t="n">
        <v>44152</v>
      </c>
      <c r="C4592" s="1" t="n">
        <v>45586</v>
      </c>
      <c r="D4592" t="inlineStr">
        <is>
          <t>VÄSTRA GÖTALANDS LÄN</t>
        </is>
      </c>
      <c r="E4592" t="inlineStr">
        <is>
          <t>MUNKEDAL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60310-2020</t>
        </is>
      </c>
      <c r="B4593" s="1" t="n">
        <v>44152</v>
      </c>
      <c r="C4593" s="1" t="n">
        <v>45586</v>
      </c>
      <c r="D4593" t="inlineStr">
        <is>
          <t>VÄSTRA GÖTALANDS LÄN</t>
        </is>
      </c>
      <c r="E4593" t="inlineStr">
        <is>
          <t>TROLLHÄTTAN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60208-2020</t>
        </is>
      </c>
      <c r="B4594" s="1" t="n">
        <v>44152</v>
      </c>
      <c r="C4594" s="1" t="n">
        <v>45586</v>
      </c>
      <c r="D4594" t="inlineStr">
        <is>
          <t>VÄSTRA GÖTALANDS LÄN</t>
        </is>
      </c>
      <c r="E4594" t="inlineStr">
        <is>
          <t>BENGTSFORS</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60291-2020</t>
        </is>
      </c>
      <c r="B4595" s="1" t="n">
        <v>44152</v>
      </c>
      <c r="C4595" s="1" t="n">
        <v>45586</v>
      </c>
      <c r="D4595" t="inlineStr">
        <is>
          <t>VÄSTRA GÖTALANDS LÄN</t>
        </is>
      </c>
      <c r="E4595" t="inlineStr">
        <is>
          <t>HJO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60348-2020</t>
        </is>
      </c>
      <c r="B4596" s="1" t="n">
        <v>44152</v>
      </c>
      <c r="C4596" s="1" t="n">
        <v>45586</v>
      </c>
      <c r="D4596" t="inlineStr">
        <is>
          <t>VÄSTRA GÖTALANDS LÄN</t>
        </is>
      </c>
      <c r="E4596" t="inlineStr">
        <is>
          <t>TIBRO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60344-2020</t>
        </is>
      </c>
      <c r="B4597" s="1" t="n">
        <v>44152</v>
      </c>
      <c r="C4597" s="1" t="n">
        <v>45586</v>
      </c>
      <c r="D4597" t="inlineStr">
        <is>
          <t>VÄSTRA GÖTALANDS LÄN</t>
        </is>
      </c>
      <c r="E4597" t="inlineStr">
        <is>
          <t>SKÖVDE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60440-2020</t>
        </is>
      </c>
      <c r="B4598" s="1" t="n">
        <v>44152</v>
      </c>
      <c r="C4598" s="1" t="n">
        <v>45586</v>
      </c>
      <c r="D4598" t="inlineStr">
        <is>
          <t>VÄSTRA GÖTALANDS LÄN</t>
        </is>
      </c>
      <c r="E4598" t="inlineStr">
        <is>
          <t>TÖREBODA</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60342-2020</t>
        </is>
      </c>
      <c r="B4599" s="1" t="n">
        <v>44152</v>
      </c>
      <c r="C4599" s="1" t="n">
        <v>45586</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60662-2020</t>
        </is>
      </c>
      <c r="B4600" s="1" t="n">
        <v>44152</v>
      </c>
      <c r="C4600" s="1" t="n">
        <v>45586</v>
      </c>
      <c r="D4600" t="inlineStr">
        <is>
          <t>VÄSTRA GÖTALANDS LÄN</t>
        </is>
      </c>
      <c r="E4600" t="inlineStr">
        <is>
          <t>VÅRGÅRDA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60500-2020</t>
        </is>
      </c>
      <c r="B4601" s="1" t="n">
        <v>44152</v>
      </c>
      <c r="C4601" s="1" t="n">
        <v>45586</v>
      </c>
      <c r="D4601" t="inlineStr">
        <is>
          <t>VÄSTRA GÖTALANDS LÄN</t>
        </is>
      </c>
      <c r="E4601" t="inlineStr">
        <is>
          <t>BORÅS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60189-2020</t>
        </is>
      </c>
      <c r="B4602" s="1" t="n">
        <v>44152</v>
      </c>
      <c r="C4602" s="1" t="n">
        <v>45586</v>
      </c>
      <c r="D4602" t="inlineStr">
        <is>
          <t>VÄSTRA GÖTALANDS LÄN</t>
        </is>
      </c>
      <c r="E4602" t="inlineStr">
        <is>
          <t>MARIESTAD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60470-2020</t>
        </is>
      </c>
      <c r="B4603" s="1" t="n">
        <v>44153</v>
      </c>
      <c r="C4603" s="1" t="n">
        <v>45586</v>
      </c>
      <c r="D4603" t="inlineStr">
        <is>
          <t>VÄSTRA GÖTALANDS LÄN</t>
        </is>
      </c>
      <c r="E4603" t="inlineStr">
        <is>
          <t>MUNKEDAL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60507-2020</t>
        </is>
      </c>
      <c r="B4604" s="1" t="n">
        <v>44153</v>
      </c>
      <c r="C4604" s="1" t="n">
        <v>45586</v>
      </c>
      <c r="D4604" t="inlineStr">
        <is>
          <t>VÄSTRA GÖTALANDS LÄN</t>
        </is>
      </c>
      <c r="E4604" t="inlineStr">
        <is>
          <t>MUNKEDAL</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60613-2020</t>
        </is>
      </c>
      <c r="B4605" s="1" t="n">
        <v>44153</v>
      </c>
      <c r="C4605" s="1" t="n">
        <v>45586</v>
      </c>
      <c r="D4605" t="inlineStr">
        <is>
          <t>VÄSTRA GÖTALANDS LÄN</t>
        </is>
      </c>
      <c r="E4605" t="inlineStr">
        <is>
          <t>LERUM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60627-2020</t>
        </is>
      </c>
      <c r="B4606" s="1" t="n">
        <v>44153</v>
      </c>
      <c r="C4606" s="1" t="n">
        <v>45586</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60677-2020</t>
        </is>
      </c>
      <c r="B4607" s="1" t="n">
        <v>44153</v>
      </c>
      <c r="C4607" s="1" t="n">
        <v>45586</v>
      </c>
      <c r="D4607" t="inlineStr">
        <is>
          <t>VÄSTRA GÖTALANDS LÄN</t>
        </is>
      </c>
      <c r="E4607" t="inlineStr">
        <is>
          <t>LERUM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60690-2020</t>
        </is>
      </c>
      <c r="B4608" s="1" t="n">
        <v>44153</v>
      </c>
      <c r="C4608" s="1" t="n">
        <v>45586</v>
      </c>
      <c r="D4608" t="inlineStr">
        <is>
          <t>VÄSTRA GÖTALANDS LÄN</t>
        </is>
      </c>
      <c r="E4608" t="inlineStr">
        <is>
          <t>MARK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60704-2020</t>
        </is>
      </c>
      <c r="B4609" s="1" t="n">
        <v>44153</v>
      </c>
      <c r="C4609" s="1" t="n">
        <v>45586</v>
      </c>
      <c r="D4609" t="inlineStr">
        <is>
          <t>VÄSTRA GÖTALANDS LÄN</t>
        </is>
      </c>
      <c r="E4609" t="inlineStr">
        <is>
          <t>LERUM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60416-2020</t>
        </is>
      </c>
      <c r="B4610" s="1" t="n">
        <v>44153</v>
      </c>
      <c r="C4610" s="1" t="n">
        <v>45586</v>
      </c>
      <c r="D4610" t="inlineStr">
        <is>
          <t>VÄSTRA GÖTALANDS LÄN</t>
        </is>
      </c>
      <c r="E4610" t="inlineStr">
        <is>
          <t>MUNKEDAL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60560-2020</t>
        </is>
      </c>
      <c r="B4611" s="1" t="n">
        <v>44153</v>
      </c>
      <c r="C4611" s="1" t="n">
        <v>45586</v>
      </c>
      <c r="D4611" t="inlineStr">
        <is>
          <t>VÄSTRA GÖTALANDS LÄN</t>
        </is>
      </c>
      <c r="E4611" t="inlineStr">
        <is>
          <t>FALKÖPING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60620-2020</t>
        </is>
      </c>
      <c r="B4612" s="1" t="n">
        <v>44153</v>
      </c>
      <c r="C4612" s="1" t="n">
        <v>45586</v>
      </c>
      <c r="D4612" t="inlineStr">
        <is>
          <t>VÄSTRA GÖTALANDS LÄN</t>
        </is>
      </c>
      <c r="E4612" t="inlineStr">
        <is>
          <t>LERUM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60713-2020</t>
        </is>
      </c>
      <c r="B4613" s="1" t="n">
        <v>44153</v>
      </c>
      <c r="C4613" s="1" t="n">
        <v>45586</v>
      </c>
      <c r="D4613" t="inlineStr">
        <is>
          <t>VÄSTRA GÖTALANDS LÄN</t>
        </is>
      </c>
      <c r="E4613" t="inlineStr">
        <is>
          <t>LERUM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60721-2020</t>
        </is>
      </c>
      <c r="B4614" s="1" t="n">
        <v>44153</v>
      </c>
      <c r="C4614" s="1" t="n">
        <v>45586</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60605-2020</t>
        </is>
      </c>
      <c r="B4615" s="1" t="n">
        <v>44153</v>
      </c>
      <c r="C4615" s="1" t="n">
        <v>45586</v>
      </c>
      <c r="D4615" t="inlineStr">
        <is>
          <t>VÄSTRA GÖTALANDS LÄN</t>
        </is>
      </c>
      <c r="E4615" t="inlineStr">
        <is>
          <t>BOLLEBYGD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60653-2020</t>
        </is>
      </c>
      <c r="B4616" s="1" t="n">
        <v>44153</v>
      </c>
      <c r="C4616" s="1" t="n">
        <v>45586</v>
      </c>
      <c r="D4616" t="inlineStr">
        <is>
          <t>VÄSTRA GÖTALANDS LÄN</t>
        </is>
      </c>
      <c r="E4616" t="inlineStr">
        <is>
          <t>LERUM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60668-2020</t>
        </is>
      </c>
      <c r="B4617" s="1" t="n">
        <v>44153</v>
      </c>
      <c r="C4617" s="1" t="n">
        <v>45586</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60679-2020</t>
        </is>
      </c>
      <c r="B4618" s="1" t="n">
        <v>44153</v>
      </c>
      <c r="C4618" s="1" t="n">
        <v>45586</v>
      </c>
      <c r="D4618" t="inlineStr">
        <is>
          <t>VÄSTRA GÖTALANDS LÄN</t>
        </is>
      </c>
      <c r="E4618" t="inlineStr">
        <is>
          <t>LERUM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60706-2020</t>
        </is>
      </c>
      <c r="B4619" s="1" t="n">
        <v>44153</v>
      </c>
      <c r="C4619" s="1" t="n">
        <v>45586</v>
      </c>
      <c r="D4619" t="inlineStr">
        <is>
          <t>VÄSTRA GÖTALANDS LÄN</t>
        </is>
      </c>
      <c r="E4619" t="inlineStr">
        <is>
          <t>LERUM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60741-2020</t>
        </is>
      </c>
      <c r="B4620" s="1" t="n">
        <v>44153</v>
      </c>
      <c r="C4620" s="1" t="n">
        <v>45586</v>
      </c>
      <c r="D4620" t="inlineStr">
        <is>
          <t>VÄSTRA GÖTALANDS LÄN</t>
        </is>
      </c>
      <c r="E4620" t="inlineStr">
        <is>
          <t>TRANEMO</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60699-2020</t>
        </is>
      </c>
      <c r="B4621" s="1" t="n">
        <v>44153</v>
      </c>
      <c r="C4621" s="1" t="n">
        <v>45586</v>
      </c>
      <c r="D4621" t="inlineStr">
        <is>
          <t>VÄSTRA GÖTALANDS LÄN</t>
        </is>
      </c>
      <c r="E4621" t="inlineStr">
        <is>
          <t>LERUM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60705-2020</t>
        </is>
      </c>
      <c r="B4622" s="1" t="n">
        <v>44153</v>
      </c>
      <c r="C4622" s="1" t="n">
        <v>45586</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60782-2020</t>
        </is>
      </c>
      <c r="B4623" s="1" t="n">
        <v>44153</v>
      </c>
      <c r="C4623" s="1" t="n">
        <v>45586</v>
      </c>
      <c r="D4623" t="inlineStr">
        <is>
          <t>VÄSTRA GÖTALANDS LÄN</t>
        </is>
      </c>
      <c r="E4623" t="inlineStr">
        <is>
          <t>VARA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60892-2020</t>
        </is>
      </c>
      <c r="B4624" s="1" t="n">
        <v>44153</v>
      </c>
      <c r="C4624" s="1" t="n">
        <v>45586</v>
      </c>
      <c r="D4624" t="inlineStr">
        <is>
          <t>VÄSTRA GÖTALANDS LÄN</t>
        </is>
      </c>
      <c r="E4624" t="inlineStr">
        <is>
          <t>STENUNGSUND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60766-2020</t>
        </is>
      </c>
      <c r="B4625" s="1" t="n">
        <v>44154</v>
      </c>
      <c r="C4625" s="1" t="n">
        <v>45586</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60954-2020</t>
        </is>
      </c>
      <c r="B4626" s="1" t="n">
        <v>44154</v>
      </c>
      <c r="C4626" s="1" t="n">
        <v>45586</v>
      </c>
      <c r="D4626" t="inlineStr">
        <is>
          <t>VÄSTRA GÖTALANDS LÄN</t>
        </is>
      </c>
      <c r="E4626" t="inlineStr">
        <is>
          <t>UDDEVALLA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60968-2020</t>
        </is>
      </c>
      <c r="B4627" s="1" t="n">
        <v>44154</v>
      </c>
      <c r="C4627" s="1" t="n">
        <v>45586</v>
      </c>
      <c r="D4627" t="inlineStr">
        <is>
          <t>VÄSTRA GÖTALANDS LÄN</t>
        </is>
      </c>
      <c r="E4627" t="inlineStr">
        <is>
          <t>SVENLJUNGA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61017-2020</t>
        </is>
      </c>
      <c r="B4628" s="1" t="n">
        <v>44154</v>
      </c>
      <c r="C4628" s="1" t="n">
        <v>45586</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60765-2020</t>
        </is>
      </c>
      <c r="B4629" s="1" t="n">
        <v>44154</v>
      </c>
      <c r="C4629" s="1" t="n">
        <v>45586</v>
      </c>
      <c r="D4629" t="inlineStr">
        <is>
          <t>VÄSTRA GÖTALANDS LÄN</t>
        </is>
      </c>
      <c r="E4629" t="inlineStr">
        <is>
          <t>TRANEMO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60863-2020</t>
        </is>
      </c>
      <c r="B4630" s="1" t="n">
        <v>44154</v>
      </c>
      <c r="C4630" s="1" t="n">
        <v>45586</v>
      </c>
      <c r="D4630" t="inlineStr">
        <is>
          <t>VÄSTRA GÖTALANDS LÄN</t>
        </is>
      </c>
      <c r="E4630" t="inlineStr">
        <is>
          <t>ULRICEHAMN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61103-2020</t>
        </is>
      </c>
      <c r="B4631" s="1" t="n">
        <v>44154</v>
      </c>
      <c r="C4631" s="1" t="n">
        <v>45586</v>
      </c>
      <c r="D4631" t="inlineStr">
        <is>
          <t>VÄSTRA GÖTALANDS LÄN</t>
        </is>
      </c>
      <c r="E4631" t="inlineStr">
        <is>
          <t>HERRLJUNGA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60991-2020</t>
        </is>
      </c>
      <c r="B4632" s="1" t="n">
        <v>44154</v>
      </c>
      <c r="C4632" s="1" t="n">
        <v>45586</v>
      </c>
      <c r="D4632" t="inlineStr">
        <is>
          <t>VÄSTRA GÖTALANDS LÄN</t>
        </is>
      </c>
      <c r="E4632" t="inlineStr">
        <is>
          <t>BOLLEBYGD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61070-2020</t>
        </is>
      </c>
      <c r="B4633" s="1" t="n">
        <v>44154</v>
      </c>
      <c r="C4633" s="1" t="n">
        <v>45586</v>
      </c>
      <c r="D4633" t="inlineStr">
        <is>
          <t>VÄSTRA GÖTALANDS LÄN</t>
        </is>
      </c>
      <c r="E4633" t="inlineStr">
        <is>
          <t>MARK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61253-2020</t>
        </is>
      </c>
      <c r="B4634" s="1" t="n">
        <v>44155</v>
      </c>
      <c r="C4634" s="1" t="n">
        <v>45586</v>
      </c>
      <c r="D4634" t="inlineStr">
        <is>
          <t>VÄSTRA GÖTALANDS LÄN</t>
        </is>
      </c>
      <c r="E4634" t="inlineStr">
        <is>
          <t>FALKÖPING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61357-2020</t>
        </is>
      </c>
      <c r="B4635" s="1" t="n">
        <v>44155</v>
      </c>
      <c r="C4635" s="1" t="n">
        <v>45586</v>
      </c>
      <c r="D4635" t="inlineStr">
        <is>
          <t>VÄSTRA GÖTALANDS LÄN</t>
        </is>
      </c>
      <c r="E4635" t="inlineStr">
        <is>
          <t>TÖREBODA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61283-2020</t>
        </is>
      </c>
      <c r="B4636" s="1" t="n">
        <v>44155</v>
      </c>
      <c r="C4636" s="1" t="n">
        <v>45586</v>
      </c>
      <c r="D4636" t="inlineStr">
        <is>
          <t>VÄSTRA GÖTALANDS LÄN</t>
        </is>
      </c>
      <c r="E4636" t="inlineStr">
        <is>
          <t>HJO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61314-2020</t>
        </is>
      </c>
      <c r="B4637" s="1" t="n">
        <v>44155</v>
      </c>
      <c r="C4637" s="1" t="n">
        <v>45586</v>
      </c>
      <c r="D4637" t="inlineStr">
        <is>
          <t>VÄSTRA GÖTALANDS LÄN</t>
        </is>
      </c>
      <c r="E4637" t="inlineStr">
        <is>
          <t>BOLLEBYGD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61306-2020</t>
        </is>
      </c>
      <c r="B4638" s="1" t="n">
        <v>44155</v>
      </c>
      <c r="C4638" s="1" t="n">
        <v>45586</v>
      </c>
      <c r="D4638" t="inlineStr">
        <is>
          <t>VÄSTRA GÖTALANDS LÄN</t>
        </is>
      </c>
      <c r="E4638" t="inlineStr">
        <is>
          <t>ORUST</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61175-2020</t>
        </is>
      </c>
      <c r="B4639" s="1" t="n">
        <v>44155</v>
      </c>
      <c r="C4639" s="1" t="n">
        <v>45586</v>
      </c>
      <c r="D4639" t="inlineStr">
        <is>
          <t>VÄSTRA GÖTALANDS LÄN</t>
        </is>
      </c>
      <c r="E4639" t="inlineStr">
        <is>
          <t>TRANEMO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61208-2020</t>
        </is>
      </c>
      <c r="B4640" s="1" t="n">
        <v>44155</v>
      </c>
      <c r="C4640" s="1" t="n">
        <v>45586</v>
      </c>
      <c r="D4640" t="inlineStr">
        <is>
          <t>VÄSTRA GÖTALANDS LÄN</t>
        </is>
      </c>
      <c r="E4640" t="inlineStr">
        <is>
          <t>LIDKÖPING</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61877-2020</t>
        </is>
      </c>
      <c r="B4641" s="1" t="n">
        <v>44155</v>
      </c>
      <c r="C4641" s="1" t="n">
        <v>45586</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62257-2020</t>
        </is>
      </c>
      <c r="B4642" s="1" t="n">
        <v>44155</v>
      </c>
      <c r="C4642" s="1" t="n">
        <v>45586</v>
      </c>
      <c r="D4642" t="inlineStr">
        <is>
          <t>VÄSTRA GÖTALANDS LÄN</t>
        </is>
      </c>
      <c r="E4642" t="inlineStr">
        <is>
          <t>MUNKEDAL</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61985-2020</t>
        </is>
      </c>
      <c r="B4643" s="1" t="n">
        <v>44157</v>
      </c>
      <c r="C4643" s="1" t="n">
        <v>45586</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61983-2020</t>
        </is>
      </c>
      <c r="B4644" s="1" t="n">
        <v>44157</v>
      </c>
      <c r="C4644" s="1" t="n">
        <v>45586</v>
      </c>
      <c r="D4644" t="inlineStr">
        <is>
          <t>VÄSTRA GÖTALANDS LÄN</t>
        </is>
      </c>
      <c r="E4644" t="inlineStr">
        <is>
          <t>FALKÖPING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62015-2020</t>
        </is>
      </c>
      <c r="B4645" s="1" t="n">
        <v>44157</v>
      </c>
      <c r="C4645" s="1" t="n">
        <v>45586</v>
      </c>
      <c r="D4645" t="inlineStr">
        <is>
          <t>VÄSTRA GÖTALANDS LÄN</t>
        </is>
      </c>
      <c r="E4645" t="inlineStr">
        <is>
          <t>VARA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62034-2020</t>
        </is>
      </c>
      <c r="B4646" s="1" t="n">
        <v>44157</v>
      </c>
      <c r="C4646" s="1" t="n">
        <v>45586</v>
      </c>
      <c r="D4646" t="inlineStr">
        <is>
          <t>VÄSTRA GÖTALANDS LÄN</t>
        </is>
      </c>
      <c r="E4646" t="inlineStr">
        <is>
          <t>FALKÖPING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61639-2020</t>
        </is>
      </c>
      <c r="B4647" s="1" t="n">
        <v>44158</v>
      </c>
      <c r="C4647" s="1" t="n">
        <v>45586</v>
      </c>
      <c r="D4647" t="inlineStr">
        <is>
          <t>VÄSTRA GÖTALANDS LÄN</t>
        </is>
      </c>
      <c r="E4647" t="inlineStr">
        <is>
          <t>MARK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61739-2020</t>
        </is>
      </c>
      <c r="B4648" s="1" t="n">
        <v>44158</v>
      </c>
      <c r="C4648" s="1" t="n">
        <v>45586</v>
      </c>
      <c r="D4648" t="inlineStr">
        <is>
          <t>VÄSTRA GÖTALANDS LÄN</t>
        </is>
      </c>
      <c r="E4648" t="inlineStr">
        <is>
          <t>ÅMÅL</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61677-2020</t>
        </is>
      </c>
      <c r="B4649" s="1" t="n">
        <v>44158</v>
      </c>
      <c r="C4649" s="1" t="n">
        <v>45586</v>
      </c>
      <c r="D4649" t="inlineStr">
        <is>
          <t>VÄSTRA GÖTALANDS LÄN</t>
        </is>
      </c>
      <c r="E4649" t="inlineStr">
        <is>
          <t>GÖTENE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61780-2020</t>
        </is>
      </c>
      <c r="B4650" s="1" t="n">
        <v>44158</v>
      </c>
      <c r="C4650" s="1" t="n">
        <v>45586</v>
      </c>
      <c r="D4650" t="inlineStr">
        <is>
          <t>VÄSTRA GÖTALANDS LÄN</t>
        </is>
      </c>
      <c r="E4650" t="inlineStr">
        <is>
          <t>TRANEMO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61778-2020</t>
        </is>
      </c>
      <c r="B4651" s="1" t="n">
        <v>44158</v>
      </c>
      <c r="C4651" s="1" t="n">
        <v>45586</v>
      </c>
      <c r="D4651" t="inlineStr">
        <is>
          <t>VÄSTRA GÖTALANDS LÄN</t>
        </is>
      </c>
      <c r="E4651" t="inlineStr">
        <is>
          <t>TIBRO</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62012-2020</t>
        </is>
      </c>
      <c r="B4652" s="1" t="n">
        <v>44159</v>
      </c>
      <c r="C4652" s="1" t="n">
        <v>45586</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62028-2020</t>
        </is>
      </c>
      <c r="B4653" s="1" t="n">
        <v>44159</v>
      </c>
      <c r="C4653" s="1" t="n">
        <v>45586</v>
      </c>
      <c r="D4653" t="inlineStr">
        <is>
          <t>VÄSTRA GÖTALANDS LÄN</t>
        </is>
      </c>
      <c r="E4653" t="inlineStr">
        <is>
          <t>FALKÖPING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61850-2020</t>
        </is>
      </c>
      <c r="B4654" s="1" t="n">
        <v>44159</v>
      </c>
      <c r="C4654" s="1" t="n">
        <v>45586</v>
      </c>
      <c r="D4654" t="inlineStr">
        <is>
          <t>VÄSTRA GÖTALANDS LÄN</t>
        </is>
      </c>
      <c r="E4654" t="inlineStr">
        <is>
          <t>TÖREBODA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62039-2020</t>
        </is>
      </c>
      <c r="B4655" s="1" t="n">
        <v>44159</v>
      </c>
      <c r="C4655" s="1" t="n">
        <v>45586</v>
      </c>
      <c r="D4655" t="inlineStr">
        <is>
          <t>VÄSTRA GÖTALANDS LÄN</t>
        </is>
      </c>
      <c r="E4655" t="inlineStr">
        <is>
          <t>TANUM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62126-2020</t>
        </is>
      </c>
      <c r="B4656" s="1" t="n">
        <v>44159</v>
      </c>
      <c r="C4656" s="1" t="n">
        <v>45586</v>
      </c>
      <c r="D4656" t="inlineStr">
        <is>
          <t>VÄSTRA GÖTALANDS LÄN</t>
        </is>
      </c>
      <c r="E4656" t="inlineStr">
        <is>
          <t>SVENLJUNGA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62144-2020</t>
        </is>
      </c>
      <c r="B4657" s="1" t="n">
        <v>44159</v>
      </c>
      <c r="C4657" s="1" t="n">
        <v>45586</v>
      </c>
      <c r="D4657" t="inlineStr">
        <is>
          <t>VÄSTRA GÖTALANDS LÄN</t>
        </is>
      </c>
      <c r="E4657" t="inlineStr">
        <is>
          <t>SVENLJUNGA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61883-2020</t>
        </is>
      </c>
      <c r="B4658" s="1" t="n">
        <v>44159</v>
      </c>
      <c r="C4658" s="1" t="n">
        <v>45586</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62104-2020</t>
        </is>
      </c>
      <c r="B4659" s="1" t="n">
        <v>44159</v>
      </c>
      <c r="C4659" s="1" t="n">
        <v>45586</v>
      </c>
      <c r="D4659" t="inlineStr">
        <is>
          <t>VÄSTRA GÖTALANDS LÄN</t>
        </is>
      </c>
      <c r="E4659" t="inlineStr">
        <is>
          <t>MARK</t>
        </is>
      </c>
      <c r="F4659" t="inlineStr">
        <is>
          <t>Kommuner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62010-2020</t>
        </is>
      </c>
      <c r="B4660" s="1" t="n">
        <v>44159</v>
      </c>
      <c r="C4660" s="1" t="n">
        <v>45586</v>
      </c>
      <c r="D4660" t="inlineStr">
        <is>
          <t>VÄSTRA GÖTALANDS LÄN</t>
        </is>
      </c>
      <c r="E4660" t="inlineStr">
        <is>
          <t>TRANEMO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62099-2020</t>
        </is>
      </c>
      <c r="B4661" s="1" t="n">
        <v>44159</v>
      </c>
      <c r="C4661" s="1" t="n">
        <v>45586</v>
      </c>
      <c r="D4661" t="inlineStr">
        <is>
          <t>VÄSTRA GÖTALANDS LÄN</t>
        </is>
      </c>
      <c r="E4661" t="inlineStr">
        <is>
          <t>MARK</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62182-2020</t>
        </is>
      </c>
      <c r="B4662" s="1" t="n">
        <v>44159</v>
      </c>
      <c r="C4662" s="1" t="n">
        <v>45586</v>
      </c>
      <c r="D4662" t="inlineStr">
        <is>
          <t>VÄSTRA GÖTALANDS LÄN</t>
        </is>
      </c>
      <c r="E4662" t="inlineStr">
        <is>
          <t>VÄNERSBORG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62101-2020</t>
        </is>
      </c>
      <c r="B4663" s="1" t="n">
        <v>44159</v>
      </c>
      <c r="C4663" s="1" t="n">
        <v>45586</v>
      </c>
      <c r="D4663" t="inlineStr">
        <is>
          <t>VÄSTRA GÖTALANDS LÄN</t>
        </is>
      </c>
      <c r="E4663" t="inlineStr">
        <is>
          <t>GRÄSTORP</t>
        </is>
      </c>
      <c r="F4663" t="inlineStr">
        <is>
          <t>Kyrkan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62176-2020</t>
        </is>
      </c>
      <c r="B4664" s="1" t="n">
        <v>44159</v>
      </c>
      <c r="C4664" s="1" t="n">
        <v>45586</v>
      </c>
      <c r="D4664" t="inlineStr">
        <is>
          <t>VÄSTRA GÖTALANDS LÄN</t>
        </is>
      </c>
      <c r="E4664" t="inlineStr">
        <is>
          <t>GULLSPÅNG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62263-2020</t>
        </is>
      </c>
      <c r="B4665" s="1" t="n">
        <v>44159</v>
      </c>
      <c r="C4665" s="1" t="n">
        <v>45586</v>
      </c>
      <c r="D4665" t="inlineStr">
        <is>
          <t>VÄSTRA GÖTALANDS LÄN</t>
        </is>
      </c>
      <c r="E4665" t="inlineStr">
        <is>
          <t>LYSEKIL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62319-2020</t>
        </is>
      </c>
      <c r="B4666" s="1" t="n">
        <v>44160</v>
      </c>
      <c r="C4666" s="1" t="n">
        <v>45586</v>
      </c>
      <c r="D4666" t="inlineStr">
        <is>
          <t>VÄSTRA GÖTALANDS LÄN</t>
        </is>
      </c>
      <c r="E4666" t="inlineStr">
        <is>
          <t>ULRICEHAMN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62345-2020</t>
        </is>
      </c>
      <c r="B4667" s="1" t="n">
        <v>44160</v>
      </c>
      <c r="C4667" s="1" t="n">
        <v>45586</v>
      </c>
      <c r="D4667" t="inlineStr">
        <is>
          <t>VÄSTRA GÖTALANDS LÄN</t>
        </is>
      </c>
      <c r="E4667" t="inlineStr">
        <is>
          <t>GULLSPÅNG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62313-2020</t>
        </is>
      </c>
      <c r="B4668" s="1" t="n">
        <v>44160</v>
      </c>
      <c r="C4668" s="1" t="n">
        <v>45586</v>
      </c>
      <c r="D4668" t="inlineStr">
        <is>
          <t>VÄSTRA GÖTALANDS LÄN</t>
        </is>
      </c>
      <c r="E4668" t="inlineStr">
        <is>
          <t>MUNKEDAL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62315-2020</t>
        </is>
      </c>
      <c r="B4669" s="1" t="n">
        <v>44160</v>
      </c>
      <c r="C4669" s="1" t="n">
        <v>45586</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62409-2020</t>
        </is>
      </c>
      <c r="B4670" s="1" t="n">
        <v>44160</v>
      </c>
      <c r="C4670" s="1" t="n">
        <v>45586</v>
      </c>
      <c r="D4670" t="inlineStr">
        <is>
          <t>VÄSTRA GÖTALANDS LÄN</t>
        </is>
      </c>
      <c r="E4670" t="inlineStr">
        <is>
          <t>LYSEKIL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62530-2020</t>
        </is>
      </c>
      <c r="B4671" s="1" t="n">
        <v>44160</v>
      </c>
      <c r="C4671" s="1" t="n">
        <v>45586</v>
      </c>
      <c r="D4671" t="inlineStr">
        <is>
          <t>VÄSTRA GÖTALANDS LÄN</t>
        </is>
      </c>
      <c r="E4671" t="inlineStr">
        <is>
          <t>BORÅS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62265-2020</t>
        </is>
      </c>
      <c r="B4672" s="1" t="n">
        <v>44160</v>
      </c>
      <c r="C4672" s="1" t="n">
        <v>45586</v>
      </c>
      <c r="D4672" t="inlineStr">
        <is>
          <t>VÄSTRA GÖTALANDS LÄN</t>
        </is>
      </c>
      <c r="E4672" t="inlineStr">
        <is>
          <t>STENUNGSUND</t>
        </is>
      </c>
      <c r="F4672" t="inlineStr">
        <is>
          <t>Kyrkan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62683-2020</t>
        </is>
      </c>
      <c r="B4673" s="1" t="n">
        <v>44161</v>
      </c>
      <c r="C4673" s="1" t="n">
        <v>45586</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62712-2020</t>
        </is>
      </c>
      <c r="B4674" s="1" t="n">
        <v>44161</v>
      </c>
      <c r="C4674" s="1" t="n">
        <v>45586</v>
      </c>
      <c r="D4674" t="inlineStr">
        <is>
          <t>VÄSTRA GÖTALANDS LÄN</t>
        </is>
      </c>
      <c r="E4674" t="inlineStr">
        <is>
          <t>MUNKEDAL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62746-2020</t>
        </is>
      </c>
      <c r="B4675" s="1" t="n">
        <v>44161</v>
      </c>
      <c r="C4675" s="1" t="n">
        <v>45586</v>
      </c>
      <c r="D4675" t="inlineStr">
        <is>
          <t>VÄSTRA GÖTALANDS LÄN</t>
        </is>
      </c>
      <c r="E4675" t="inlineStr">
        <is>
          <t>ULRICEHAMN</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62646-2020</t>
        </is>
      </c>
      <c r="B4676" s="1" t="n">
        <v>44161</v>
      </c>
      <c r="C4676" s="1" t="n">
        <v>45586</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62620-2020</t>
        </is>
      </c>
      <c r="B4677" s="1" t="n">
        <v>44161</v>
      </c>
      <c r="C4677" s="1" t="n">
        <v>45586</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62743-2020</t>
        </is>
      </c>
      <c r="B4678" s="1" t="n">
        <v>44161</v>
      </c>
      <c r="C4678" s="1" t="n">
        <v>45586</v>
      </c>
      <c r="D4678" t="inlineStr">
        <is>
          <t>VÄSTRA GÖTALANDS LÄN</t>
        </is>
      </c>
      <c r="E4678" t="inlineStr">
        <is>
          <t>ULRICEHAMN</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62744-2020</t>
        </is>
      </c>
      <c r="B4679" s="1" t="n">
        <v>44161</v>
      </c>
      <c r="C4679" s="1" t="n">
        <v>45586</v>
      </c>
      <c r="D4679" t="inlineStr">
        <is>
          <t>VÄSTRA GÖTALANDS LÄN</t>
        </is>
      </c>
      <c r="E4679" t="inlineStr">
        <is>
          <t>ULRICEHAMN</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62851-2020</t>
        </is>
      </c>
      <c r="B4680" s="1" t="n">
        <v>44161</v>
      </c>
      <c r="C4680" s="1" t="n">
        <v>45586</v>
      </c>
      <c r="D4680" t="inlineStr">
        <is>
          <t>VÄSTRA GÖTALANDS LÄN</t>
        </is>
      </c>
      <c r="E4680" t="inlineStr">
        <is>
          <t>BENGTSFORS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63460-2020</t>
        </is>
      </c>
      <c r="B4681" s="1" t="n">
        <v>44161</v>
      </c>
      <c r="C4681" s="1" t="n">
        <v>45586</v>
      </c>
      <c r="D4681" t="inlineStr">
        <is>
          <t>VÄSTRA GÖTALANDS LÄN</t>
        </is>
      </c>
      <c r="E4681" t="inlineStr">
        <is>
          <t>ÅMÅL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63643-2020</t>
        </is>
      </c>
      <c r="B4682" s="1" t="n">
        <v>44161</v>
      </c>
      <c r="C4682" s="1" t="n">
        <v>45586</v>
      </c>
      <c r="D4682" t="inlineStr">
        <is>
          <t>VÄSTRA GÖTALANDS LÄN</t>
        </is>
      </c>
      <c r="E4682" t="inlineStr">
        <is>
          <t>ULRICEHAMN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62643-2020</t>
        </is>
      </c>
      <c r="B4683" s="1" t="n">
        <v>44161</v>
      </c>
      <c r="C4683" s="1" t="n">
        <v>45586</v>
      </c>
      <c r="D4683" t="inlineStr">
        <is>
          <t>VÄSTRA GÖTALANDS LÄN</t>
        </is>
      </c>
      <c r="E4683" t="inlineStr">
        <is>
          <t>UDDEVALLA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62950-2020</t>
        </is>
      </c>
      <c r="B4684" s="1" t="n">
        <v>44161</v>
      </c>
      <c r="C4684" s="1" t="n">
        <v>45586</v>
      </c>
      <c r="D4684" t="inlineStr">
        <is>
          <t>VÄSTRA GÖTALANDS LÄN</t>
        </is>
      </c>
      <c r="E4684" t="inlineStr">
        <is>
          <t>MARIESTAD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63459-2020</t>
        </is>
      </c>
      <c r="B4685" s="1" t="n">
        <v>44161</v>
      </c>
      <c r="C4685" s="1" t="n">
        <v>45586</v>
      </c>
      <c r="D4685" t="inlineStr">
        <is>
          <t>VÄSTRA GÖTALANDS LÄN</t>
        </is>
      </c>
      <c r="E4685" t="inlineStr">
        <is>
          <t>GULLSPÅNG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63650-2020</t>
        </is>
      </c>
      <c r="B4686" s="1" t="n">
        <v>44161</v>
      </c>
      <c r="C4686" s="1" t="n">
        <v>45586</v>
      </c>
      <c r="D4686" t="inlineStr">
        <is>
          <t>VÄSTRA GÖTALANDS LÄN</t>
        </is>
      </c>
      <c r="E4686" t="inlineStr">
        <is>
          <t>ULRICEHAMN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62896-2020</t>
        </is>
      </c>
      <c r="B4687" s="1" t="n">
        <v>44162</v>
      </c>
      <c r="C4687" s="1" t="n">
        <v>45586</v>
      </c>
      <c r="D4687" t="inlineStr">
        <is>
          <t>VÄSTRA GÖTALANDS LÄN</t>
        </is>
      </c>
      <c r="E4687" t="inlineStr">
        <is>
          <t>SVENLJUNGA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63025-2020</t>
        </is>
      </c>
      <c r="B4688" s="1" t="n">
        <v>44162</v>
      </c>
      <c r="C4688" s="1" t="n">
        <v>45586</v>
      </c>
      <c r="D4688" t="inlineStr">
        <is>
          <t>VÄSTRA GÖTALANDS LÄN</t>
        </is>
      </c>
      <c r="E4688" t="inlineStr">
        <is>
          <t>FALKÖPING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63065-2020</t>
        </is>
      </c>
      <c r="B4689" s="1" t="n">
        <v>44162</v>
      </c>
      <c r="C4689" s="1" t="n">
        <v>45586</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62919-2020</t>
        </is>
      </c>
      <c r="B4690" s="1" t="n">
        <v>44162</v>
      </c>
      <c r="C4690" s="1" t="n">
        <v>45586</v>
      </c>
      <c r="D4690" t="inlineStr">
        <is>
          <t>VÄSTRA GÖTALANDS LÄN</t>
        </is>
      </c>
      <c r="E4690" t="inlineStr">
        <is>
          <t>LILLA EDET</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63027-2020</t>
        </is>
      </c>
      <c r="B4691" s="1" t="n">
        <v>44162</v>
      </c>
      <c r="C4691" s="1" t="n">
        <v>45586</v>
      </c>
      <c r="D4691" t="inlineStr">
        <is>
          <t>VÄSTRA GÖTALANDS LÄN</t>
        </is>
      </c>
      <c r="E4691" t="inlineStr">
        <is>
          <t>FALKÖPING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62910-2020</t>
        </is>
      </c>
      <c r="B4692" s="1" t="n">
        <v>44162</v>
      </c>
      <c r="C4692" s="1" t="n">
        <v>45586</v>
      </c>
      <c r="D4692" t="inlineStr">
        <is>
          <t>VÄSTRA GÖTALANDS LÄN</t>
        </is>
      </c>
      <c r="E4692" t="inlineStr">
        <is>
          <t>STENUNGSUND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63028-2020</t>
        </is>
      </c>
      <c r="B4693" s="1" t="n">
        <v>44162</v>
      </c>
      <c r="C4693" s="1" t="n">
        <v>45586</v>
      </c>
      <c r="D4693" t="inlineStr">
        <is>
          <t>VÄSTRA GÖTALANDS LÄN</t>
        </is>
      </c>
      <c r="E4693" t="inlineStr">
        <is>
          <t>FALKÖPING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63061-2020</t>
        </is>
      </c>
      <c r="B4694" s="1" t="n">
        <v>44162</v>
      </c>
      <c r="C4694" s="1" t="n">
        <v>45586</v>
      </c>
      <c r="D4694" t="inlineStr">
        <is>
          <t>VÄSTRA GÖTALANDS LÄN</t>
        </is>
      </c>
      <c r="E4694" t="inlineStr">
        <is>
          <t>VARA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63118-2020</t>
        </is>
      </c>
      <c r="B4695" s="1" t="n">
        <v>44162</v>
      </c>
      <c r="C4695" s="1" t="n">
        <v>45586</v>
      </c>
      <c r="D4695" t="inlineStr">
        <is>
          <t>VÄSTRA GÖTALANDS LÄN</t>
        </is>
      </c>
      <c r="E4695" t="inlineStr">
        <is>
          <t>ALINGSÅS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63807-2020</t>
        </is>
      </c>
      <c r="B4696" s="1" t="n">
        <v>44164</v>
      </c>
      <c r="C4696" s="1" t="n">
        <v>45586</v>
      </c>
      <c r="D4696" t="inlineStr">
        <is>
          <t>VÄSTRA GÖTALANDS LÄN</t>
        </is>
      </c>
      <c r="E4696" t="inlineStr">
        <is>
          <t>LYSEKIL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63245-2020</t>
        </is>
      </c>
      <c r="B4697" s="1" t="n">
        <v>44164</v>
      </c>
      <c r="C4697" s="1" t="n">
        <v>45586</v>
      </c>
      <c r="D4697" t="inlineStr">
        <is>
          <t>VÄSTRA GÖTALANDS LÄN</t>
        </is>
      </c>
      <c r="E4697" t="inlineStr">
        <is>
          <t>VÄNERSBORG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63268-2020</t>
        </is>
      </c>
      <c r="B4698" s="1" t="n">
        <v>44164</v>
      </c>
      <c r="C4698" s="1" t="n">
        <v>45586</v>
      </c>
      <c r="D4698" t="inlineStr">
        <is>
          <t>VÄSTRA GÖTALANDS LÄN</t>
        </is>
      </c>
      <c r="E4698" t="inlineStr">
        <is>
          <t>ULRICEHAMN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63823-2020</t>
        </is>
      </c>
      <c r="B4699" s="1" t="n">
        <v>44164</v>
      </c>
      <c r="C4699" s="1" t="n">
        <v>45586</v>
      </c>
      <c r="D4699" t="inlineStr">
        <is>
          <t>VÄSTRA GÖTALANDS LÄN</t>
        </is>
      </c>
      <c r="E4699" t="inlineStr">
        <is>
          <t>LYSEKIL</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63331-2020</t>
        </is>
      </c>
      <c r="B4700" s="1" t="n">
        <v>44165</v>
      </c>
      <c r="C4700" s="1" t="n">
        <v>45586</v>
      </c>
      <c r="D4700" t="inlineStr">
        <is>
          <t>VÄSTRA GÖTALANDS LÄN</t>
        </is>
      </c>
      <c r="E4700" t="inlineStr">
        <is>
          <t>MELLERUD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63280-2020</t>
        </is>
      </c>
      <c r="B4701" s="1" t="n">
        <v>44165</v>
      </c>
      <c r="C4701" s="1" t="n">
        <v>45586</v>
      </c>
      <c r="D4701" t="inlineStr">
        <is>
          <t>VÄSTRA GÖTALANDS LÄN</t>
        </is>
      </c>
      <c r="E4701" t="inlineStr">
        <is>
          <t>DALS-ED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63302-2020</t>
        </is>
      </c>
      <c r="B4702" s="1" t="n">
        <v>44165</v>
      </c>
      <c r="C4702" s="1" t="n">
        <v>45586</v>
      </c>
      <c r="D4702" t="inlineStr">
        <is>
          <t>VÄSTRA GÖTALANDS LÄN</t>
        </is>
      </c>
      <c r="E4702" t="inlineStr">
        <is>
          <t>ULRICEHAMN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63537-2020</t>
        </is>
      </c>
      <c r="B4703" s="1" t="n">
        <v>44165</v>
      </c>
      <c r="C4703" s="1" t="n">
        <v>45586</v>
      </c>
      <c r="D4703" t="inlineStr">
        <is>
          <t>VÄSTRA GÖTALANDS LÄN</t>
        </is>
      </c>
      <c r="E4703" t="inlineStr">
        <is>
          <t>TRANEMO</t>
        </is>
      </c>
      <c r="F4703" t="inlineStr">
        <is>
          <t>Kyrkan</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63348-2020</t>
        </is>
      </c>
      <c r="B4704" s="1" t="n">
        <v>44165</v>
      </c>
      <c r="C4704" s="1" t="n">
        <v>45586</v>
      </c>
      <c r="D4704" t="inlineStr">
        <is>
          <t>VÄSTRA GÖTALANDS LÄN</t>
        </is>
      </c>
      <c r="E4704" t="inlineStr">
        <is>
          <t>FALKÖPING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63372-2020</t>
        </is>
      </c>
      <c r="B4705" s="1" t="n">
        <v>44165</v>
      </c>
      <c r="C4705" s="1" t="n">
        <v>45586</v>
      </c>
      <c r="D4705" t="inlineStr">
        <is>
          <t>VÄSTRA GÖTALANDS LÄN</t>
        </is>
      </c>
      <c r="E4705" t="inlineStr">
        <is>
          <t>SVENLJUNGA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63406-2020</t>
        </is>
      </c>
      <c r="B4706" s="1" t="n">
        <v>44165</v>
      </c>
      <c r="C4706" s="1" t="n">
        <v>45586</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63535-2020</t>
        </is>
      </c>
      <c r="B4707" s="1" t="n">
        <v>44165</v>
      </c>
      <c r="C4707" s="1" t="n">
        <v>45586</v>
      </c>
      <c r="D4707" t="inlineStr">
        <is>
          <t>VÄSTRA GÖTALANDS LÄN</t>
        </is>
      </c>
      <c r="E4707" t="inlineStr">
        <is>
          <t>TRANEMO</t>
        </is>
      </c>
      <c r="F4707" t="inlineStr">
        <is>
          <t>Kyrkan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63630-2020</t>
        </is>
      </c>
      <c r="B4708" s="1" t="n">
        <v>44165</v>
      </c>
      <c r="C4708" s="1" t="n">
        <v>45586</v>
      </c>
      <c r="D4708" t="inlineStr">
        <is>
          <t>VÄSTRA GÖTALANDS LÄN</t>
        </is>
      </c>
      <c r="E4708" t="inlineStr">
        <is>
          <t>TRANEMO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63895-2020</t>
        </is>
      </c>
      <c r="B4709" s="1" t="n">
        <v>44165</v>
      </c>
      <c r="C4709" s="1" t="n">
        <v>45586</v>
      </c>
      <c r="D4709" t="inlineStr">
        <is>
          <t>VÄSTRA GÖTALANDS LÄN</t>
        </is>
      </c>
      <c r="E4709" t="inlineStr">
        <is>
          <t>MARIESTAD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63569-2020</t>
        </is>
      </c>
      <c r="B4710" s="1" t="n">
        <v>44165</v>
      </c>
      <c r="C4710" s="1" t="n">
        <v>45586</v>
      </c>
      <c r="D4710" t="inlineStr">
        <is>
          <t>VÄSTRA GÖTALANDS LÄN</t>
        </is>
      </c>
      <c r="E4710" t="inlineStr">
        <is>
          <t>BENGTSFORS</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63880-2020</t>
        </is>
      </c>
      <c r="B4711" s="1" t="n">
        <v>44165</v>
      </c>
      <c r="C4711" s="1" t="n">
        <v>45586</v>
      </c>
      <c r="D4711" t="inlineStr">
        <is>
          <t>VÄSTRA GÖTALANDS LÄN</t>
        </is>
      </c>
      <c r="E4711" t="inlineStr">
        <is>
          <t>VARA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63891-2020</t>
        </is>
      </c>
      <c r="B4712" s="1" t="n">
        <v>44165</v>
      </c>
      <c r="C4712" s="1" t="n">
        <v>45586</v>
      </c>
      <c r="D4712" t="inlineStr">
        <is>
          <t>VÄSTRA GÖTALANDS LÄN</t>
        </is>
      </c>
      <c r="E4712" t="inlineStr">
        <is>
          <t>MARIESTAD</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63959-2020</t>
        </is>
      </c>
      <c r="B4713" s="1" t="n">
        <v>44165</v>
      </c>
      <c r="C4713" s="1" t="n">
        <v>45586</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64037-2020</t>
        </is>
      </c>
      <c r="B4714" s="1" t="n">
        <v>44165</v>
      </c>
      <c r="C4714" s="1" t="n">
        <v>45586</v>
      </c>
      <c r="D4714" t="inlineStr">
        <is>
          <t>VÄSTRA GÖTALANDS LÄN</t>
        </is>
      </c>
      <c r="E4714" t="inlineStr">
        <is>
          <t>MARIESTAD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64094-2020</t>
        </is>
      </c>
      <c r="B4715" s="1" t="n">
        <v>44165</v>
      </c>
      <c r="C4715" s="1" t="n">
        <v>45586</v>
      </c>
      <c r="D4715" t="inlineStr">
        <is>
          <t>VÄSTRA GÖTALANDS LÄN</t>
        </is>
      </c>
      <c r="E4715" t="inlineStr">
        <is>
          <t>VÄNERSBORG</t>
        </is>
      </c>
      <c r="G4715" t="n">
        <v>21.3</v>
      </c>
      <c r="H4715" t="n">
        <v>0</v>
      </c>
      <c r="I4715" t="n">
        <v>0</v>
      </c>
      <c r="J4715" t="n">
        <v>0</v>
      </c>
      <c r="K4715" t="n">
        <v>0</v>
      </c>
      <c r="L4715" t="n">
        <v>0</v>
      </c>
      <c r="M4715" t="n">
        <v>0</v>
      </c>
      <c r="N4715" t="n">
        <v>0</v>
      </c>
      <c r="O4715" t="n">
        <v>0</v>
      </c>
      <c r="P4715" t="n">
        <v>0</v>
      </c>
      <c r="Q4715" t="n">
        <v>0</v>
      </c>
      <c r="R4715" s="2" t="inlineStr"/>
    </row>
    <row r="4716" ht="15" customHeight="1">
      <c r="A4716" t="inlineStr">
        <is>
          <t>A 64253-2020</t>
        </is>
      </c>
      <c r="B4716" s="1" t="n">
        <v>44166</v>
      </c>
      <c r="C4716" s="1" t="n">
        <v>45586</v>
      </c>
      <c r="D4716" t="inlineStr">
        <is>
          <t>VÄSTRA GÖTALANDS LÄN</t>
        </is>
      </c>
      <c r="E4716" t="inlineStr">
        <is>
          <t>BORÅS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63700-2020</t>
        </is>
      </c>
      <c r="B4717" s="1" t="n">
        <v>44166</v>
      </c>
      <c r="C4717" s="1" t="n">
        <v>45586</v>
      </c>
      <c r="D4717" t="inlineStr">
        <is>
          <t>VÄSTRA GÖTALANDS LÄN</t>
        </is>
      </c>
      <c r="E4717" t="inlineStr">
        <is>
          <t>ÅMÅL</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63883-2020</t>
        </is>
      </c>
      <c r="B4718" s="1" t="n">
        <v>44166</v>
      </c>
      <c r="C4718" s="1" t="n">
        <v>45586</v>
      </c>
      <c r="D4718" t="inlineStr">
        <is>
          <t>VÄSTRA GÖTALANDS LÄN</t>
        </is>
      </c>
      <c r="E4718" t="inlineStr">
        <is>
          <t>MÖLNDAL</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63756-2020</t>
        </is>
      </c>
      <c r="B4719" s="1" t="n">
        <v>44166</v>
      </c>
      <c r="C4719" s="1" t="n">
        <v>45586</v>
      </c>
      <c r="D4719" t="inlineStr">
        <is>
          <t>VÄSTRA GÖTALANDS LÄN</t>
        </is>
      </c>
      <c r="E4719" t="inlineStr">
        <is>
          <t>VARA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64250-2020</t>
        </is>
      </c>
      <c r="B4720" s="1" t="n">
        <v>44166</v>
      </c>
      <c r="C4720" s="1" t="n">
        <v>45586</v>
      </c>
      <c r="D4720" t="inlineStr">
        <is>
          <t>VÄSTRA GÖTALANDS LÄN</t>
        </is>
      </c>
      <c r="E4720" t="inlineStr">
        <is>
          <t>BORÅS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64122-2020</t>
        </is>
      </c>
      <c r="B4721" s="1" t="n">
        <v>44166</v>
      </c>
      <c r="C4721" s="1" t="n">
        <v>45586</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64352-2020</t>
        </is>
      </c>
      <c r="B4722" s="1" t="n">
        <v>44166</v>
      </c>
      <c r="C4722" s="1" t="n">
        <v>45586</v>
      </c>
      <c r="D4722" t="inlineStr">
        <is>
          <t>VÄSTRA GÖTALANDS LÄN</t>
        </is>
      </c>
      <c r="E4722" t="inlineStr">
        <is>
          <t>GRÄSTORP</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63967-2020</t>
        </is>
      </c>
      <c r="B4723" s="1" t="n">
        <v>44167</v>
      </c>
      <c r="C4723" s="1" t="n">
        <v>45586</v>
      </c>
      <c r="D4723" t="inlineStr">
        <is>
          <t>VÄSTRA GÖTALANDS LÄN</t>
        </is>
      </c>
      <c r="E4723" t="inlineStr">
        <is>
          <t>MARIESTAD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64009-2020</t>
        </is>
      </c>
      <c r="B4724" s="1" t="n">
        <v>44167</v>
      </c>
      <c r="C4724" s="1" t="n">
        <v>45586</v>
      </c>
      <c r="D4724" t="inlineStr">
        <is>
          <t>VÄSTRA GÖTALANDS LÄN</t>
        </is>
      </c>
      <c r="E4724" t="inlineStr">
        <is>
          <t>FALKÖPING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64039-2020</t>
        </is>
      </c>
      <c r="B4725" s="1" t="n">
        <v>44167</v>
      </c>
      <c r="C4725" s="1" t="n">
        <v>45586</v>
      </c>
      <c r="D4725" t="inlineStr">
        <is>
          <t>VÄSTRA GÖTALANDS LÄN</t>
        </is>
      </c>
      <c r="E4725" t="inlineStr">
        <is>
          <t>MARIESTAD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63943-2020</t>
        </is>
      </c>
      <c r="B4726" s="1" t="n">
        <v>44167</v>
      </c>
      <c r="C4726" s="1" t="n">
        <v>45586</v>
      </c>
      <c r="D4726" t="inlineStr">
        <is>
          <t>VÄSTRA GÖTALANDS LÄN</t>
        </is>
      </c>
      <c r="E4726" t="inlineStr">
        <is>
          <t>GÖTENE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63970-2020</t>
        </is>
      </c>
      <c r="B4727" s="1" t="n">
        <v>44167</v>
      </c>
      <c r="C4727" s="1" t="n">
        <v>45586</v>
      </c>
      <c r="D4727" t="inlineStr">
        <is>
          <t>VÄSTRA GÖTALANDS LÄN</t>
        </is>
      </c>
      <c r="E4727" t="inlineStr">
        <is>
          <t>ALINGSÅS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63989-2020</t>
        </is>
      </c>
      <c r="B4728" s="1" t="n">
        <v>44167</v>
      </c>
      <c r="C4728" s="1" t="n">
        <v>45586</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64163-2020</t>
        </is>
      </c>
      <c r="B4729" s="1" t="n">
        <v>44167</v>
      </c>
      <c r="C4729" s="1" t="n">
        <v>45586</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64169-2020</t>
        </is>
      </c>
      <c r="B4730" s="1" t="n">
        <v>44167</v>
      </c>
      <c r="C4730" s="1" t="n">
        <v>45586</v>
      </c>
      <c r="D4730" t="inlineStr">
        <is>
          <t>VÄSTRA GÖTALANDS LÄN</t>
        </is>
      </c>
      <c r="E4730" t="inlineStr">
        <is>
          <t>VARA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64002-2020</t>
        </is>
      </c>
      <c r="B4731" s="1" t="n">
        <v>44167</v>
      </c>
      <c r="C4731" s="1" t="n">
        <v>45586</v>
      </c>
      <c r="D4731" t="inlineStr">
        <is>
          <t>VÄSTRA GÖTALANDS LÄN</t>
        </is>
      </c>
      <c r="E4731" t="inlineStr">
        <is>
          <t>FALKÖPING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64033-2020</t>
        </is>
      </c>
      <c r="B4732" s="1" t="n">
        <v>44167</v>
      </c>
      <c r="C4732" s="1" t="n">
        <v>45586</v>
      </c>
      <c r="D4732" t="inlineStr">
        <is>
          <t>VÄSTRA GÖTALANDS LÄN</t>
        </is>
      </c>
      <c r="E4732" t="inlineStr">
        <is>
          <t>GRÄSTORP</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64167-2020</t>
        </is>
      </c>
      <c r="B4733" s="1" t="n">
        <v>44167</v>
      </c>
      <c r="C4733" s="1" t="n">
        <v>45586</v>
      </c>
      <c r="D4733" t="inlineStr">
        <is>
          <t>VÄSTRA GÖTALANDS LÄN</t>
        </is>
      </c>
      <c r="E4733" t="inlineStr">
        <is>
          <t>FÄRGELANDA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64132-2020</t>
        </is>
      </c>
      <c r="B4734" s="1" t="n">
        <v>44167</v>
      </c>
      <c r="C4734" s="1" t="n">
        <v>45586</v>
      </c>
      <c r="D4734" t="inlineStr">
        <is>
          <t>VÄSTRA GÖTALANDS LÄN</t>
        </is>
      </c>
      <c r="E4734" t="inlineStr">
        <is>
          <t>HÄRRYDA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64165-2020</t>
        </is>
      </c>
      <c r="B4735" s="1" t="n">
        <v>44167</v>
      </c>
      <c r="C4735" s="1" t="n">
        <v>45586</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64168-2020</t>
        </is>
      </c>
      <c r="B4736" s="1" t="n">
        <v>44167</v>
      </c>
      <c r="C4736" s="1" t="n">
        <v>45586</v>
      </c>
      <c r="D4736" t="inlineStr">
        <is>
          <t>VÄSTRA GÖTALANDS LÄN</t>
        </is>
      </c>
      <c r="E4736" t="inlineStr">
        <is>
          <t>BORÅS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64711-2020</t>
        </is>
      </c>
      <c r="B4737" s="1" t="n">
        <v>44167</v>
      </c>
      <c r="C4737" s="1" t="n">
        <v>45586</v>
      </c>
      <c r="D4737" t="inlineStr">
        <is>
          <t>VÄSTRA GÖTALANDS LÄN</t>
        </is>
      </c>
      <c r="E4737" t="inlineStr">
        <is>
          <t>STENUNGSUND</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65036-2020</t>
        </is>
      </c>
      <c r="B4738" s="1" t="n">
        <v>44167</v>
      </c>
      <c r="C4738" s="1" t="n">
        <v>45586</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64782-2020</t>
        </is>
      </c>
      <c r="B4739" s="1" t="n">
        <v>44167</v>
      </c>
      <c r="C4739" s="1" t="n">
        <v>45586</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64242-2020</t>
        </is>
      </c>
      <c r="B4740" s="1" t="n">
        <v>44168</v>
      </c>
      <c r="C4740" s="1" t="n">
        <v>45586</v>
      </c>
      <c r="D4740" t="inlineStr">
        <is>
          <t>VÄSTRA GÖTALANDS LÄN</t>
        </is>
      </c>
      <c r="E4740" t="inlineStr">
        <is>
          <t>TÖREBODA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64430-2020</t>
        </is>
      </c>
      <c r="B4741" s="1" t="n">
        <v>44168</v>
      </c>
      <c r="C4741" s="1" t="n">
        <v>45586</v>
      </c>
      <c r="D4741" t="inlineStr">
        <is>
          <t>VÄSTRA GÖTALANDS LÄN</t>
        </is>
      </c>
      <c r="E4741" t="inlineStr">
        <is>
          <t>STRÖMSTAD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64406-2020</t>
        </is>
      </c>
      <c r="B4742" s="1" t="n">
        <v>44168</v>
      </c>
      <c r="C4742" s="1" t="n">
        <v>45586</v>
      </c>
      <c r="D4742" t="inlineStr">
        <is>
          <t>VÄSTRA GÖTALANDS LÄN</t>
        </is>
      </c>
      <c r="E4742" t="inlineStr">
        <is>
          <t>SVENLJUNGA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64432-2020</t>
        </is>
      </c>
      <c r="B4743" s="1" t="n">
        <v>44168</v>
      </c>
      <c r="C4743" s="1" t="n">
        <v>45586</v>
      </c>
      <c r="D4743" t="inlineStr">
        <is>
          <t>VÄSTRA GÖTALANDS LÄN</t>
        </is>
      </c>
      <c r="E4743" t="inlineStr">
        <is>
          <t>BORÅS</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64403-2020</t>
        </is>
      </c>
      <c r="B4744" s="1" t="n">
        <v>44168</v>
      </c>
      <c r="C4744" s="1" t="n">
        <v>45586</v>
      </c>
      <c r="D4744" t="inlineStr">
        <is>
          <t>VÄSTRA GÖTALANDS LÄN</t>
        </is>
      </c>
      <c r="E4744" t="inlineStr">
        <is>
          <t>GULLSPÅNG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64429-2020</t>
        </is>
      </c>
      <c r="B4745" s="1" t="n">
        <v>44168</v>
      </c>
      <c r="C4745" s="1" t="n">
        <v>45586</v>
      </c>
      <c r="D4745" t="inlineStr">
        <is>
          <t>VÄSTRA GÖTALANDS LÄN</t>
        </is>
      </c>
      <c r="E4745" t="inlineStr">
        <is>
          <t>BORÅS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64459-2020</t>
        </is>
      </c>
      <c r="B4746" s="1" t="n">
        <v>44168</v>
      </c>
      <c r="C4746" s="1" t="n">
        <v>45586</v>
      </c>
      <c r="D4746" t="inlineStr">
        <is>
          <t>VÄSTRA GÖTALANDS LÄN</t>
        </is>
      </c>
      <c r="E4746" t="inlineStr">
        <is>
          <t>MARK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65325-2020</t>
        </is>
      </c>
      <c r="B4747" s="1" t="n">
        <v>44168</v>
      </c>
      <c r="C4747" s="1" t="n">
        <v>45586</v>
      </c>
      <c r="D4747" t="inlineStr">
        <is>
          <t>VÄSTRA GÖTALANDS LÄN</t>
        </is>
      </c>
      <c r="E4747" t="inlineStr">
        <is>
          <t>UDDEVALLA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64454-2020</t>
        </is>
      </c>
      <c r="B4748" s="1" t="n">
        <v>44168</v>
      </c>
      <c r="C4748" s="1" t="n">
        <v>45586</v>
      </c>
      <c r="D4748" t="inlineStr">
        <is>
          <t>VÄSTRA GÖTALANDS LÄN</t>
        </is>
      </c>
      <c r="E4748" t="inlineStr">
        <is>
          <t>GULLSPÅNG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65328-2020</t>
        </is>
      </c>
      <c r="B4749" s="1" t="n">
        <v>44168</v>
      </c>
      <c r="C4749" s="1" t="n">
        <v>45586</v>
      </c>
      <c r="D4749" t="inlineStr">
        <is>
          <t>VÄSTRA GÖTALANDS LÄN</t>
        </is>
      </c>
      <c r="E4749" t="inlineStr">
        <is>
          <t>UDDEVALLA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65174-2020</t>
        </is>
      </c>
      <c r="B4750" s="1" t="n">
        <v>44168</v>
      </c>
      <c r="C4750" s="1" t="n">
        <v>45586</v>
      </c>
      <c r="D4750" t="inlineStr">
        <is>
          <t>VÄSTRA GÖTALANDS LÄN</t>
        </is>
      </c>
      <c r="E4750" t="inlineStr">
        <is>
          <t>DALS-ED</t>
        </is>
      </c>
      <c r="F4750" t="inlineStr">
        <is>
          <t>Kyrkan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64569-2020</t>
        </is>
      </c>
      <c r="B4751" s="1" t="n">
        <v>44169</v>
      </c>
      <c r="C4751" s="1" t="n">
        <v>45586</v>
      </c>
      <c r="D4751" t="inlineStr">
        <is>
          <t>VÄSTRA GÖTALANDS LÄN</t>
        </is>
      </c>
      <c r="E4751" t="inlineStr">
        <is>
          <t>GÖTENE</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64697-2020</t>
        </is>
      </c>
      <c r="B4752" s="1" t="n">
        <v>44169</v>
      </c>
      <c r="C4752" s="1" t="n">
        <v>45586</v>
      </c>
      <c r="D4752" t="inlineStr">
        <is>
          <t>VÄSTRA GÖTALANDS LÄN</t>
        </is>
      </c>
      <c r="E4752" t="inlineStr">
        <is>
          <t>GÖTENE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64546-2020</t>
        </is>
      </c>
      <c r="B4753" s="1" t="n">
        <v>44169</v>
      </c>
      <c r="C4753" s="1" t="n">
        <v>45586</v>
      </c>
      <c r="D4753" t="inlineStr">
        <is>
          <t>VÄSTRA GÖTALANDS LÄN</t>
        </is>
      </c>
      <c r="E4753" t="inlineStr">
        <is>
          <t>STRÖMSTAD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64693-2020</t>
        </is>
      </c>
      <c r="B4754" s="1" t="n">
        <v>44169</v>
      </c>
      <c r="C4754" s="1" t="n">
        <v>45586</v>
      </c>
      <c r="D4754" t="inlineStr">
        <is>
          <t>VÄSTRA GÖTALANDS LÄN</t>
        </is>
      </c>
      <c r="E4754" t="inlineStr">
        <is>
          <t>GÖTENE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64568-2020</t>
        </is>
      </c>
      <c r="B4755" s="1" t="n">
        <v>44169</v>
      </c>
      <c r="C4755" s="1" t="n">
        <v>45586</v>
      </c>
      <c r="D4755" t="inlineStr">
        <is>
          <t>VÄSTRA GÖTALANDS LÄN</t>
        </is>
      </c>
      <c r="E4755" t="inlineStr">
        <is>
          <t>GÖTENE</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64547-2020</t>
        </is>
      </c>
      <c r="B4756" s="1" t="n">
        <v>44169</v>
      </c>
      <c r="C4756" s="1" t="n">
        <v>45586</v>
      </c>
      <c r="D4756" t="inlineStr">
        <is>
          <t>VÄSTRA GÖTALANDS LÄN</t>
        </is>
      </c>
      <c r="E4756" t="inlineStr">
        <is>
          <t>SKÖVDE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64578-2020</t>
        </is>
      </c>
      <c r="B4757" s="1" t="n">
        <v>44169</v>
      </c>
      <c r="C4757" s="1" t="n">
        <v>45586</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64771-2020</t>
        </is>
      </c>
      <c r="B4758" s="1" t="n">
        <v>44169</v>
      </c>
      <c r="C4758" s="1" t="n">
        <v>45586</v>
      </c>
      <c r="D4758" t="inlineStr">
        <is>
          <t>VÄSTRA GÖTALANDS LÄN</t>
        </is>
      </c>
      <c r="E4758" t="inlineStr">
        <is>
          <t>FÄRGELANDA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65194-2020</t>
        </is>
      </c>
      <c r="B4759" s="1" t="n">
        <v>44169</v>
      </c>
      <c r="C4759" s="1" t="n">
        <v>45586</v>
      </c>
      <c r="D4759" t="inlineStr">
        <is>
          <t>VÄSTRA GÖTALANDS LÄN</t>
        </is>
      </c>
      <c r="E4759" t="inlineStr">
        <is>
          <t>UDDEVALLA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64765-2020</t>
        </is>
      </c>
      <c r="B4760" s="1" t="n">
        <v>44169</v>
      </c>
      <c r="C4760" s="1" t="n">
        <v>45586</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64973-2020</t>
        </is>
      </c>
      <c r="B4761" s="1" t="n">
        <v>44169</v>
      </c>
      <c r="C4761" s="1" t="n">
        <v>45586</v>
      </c>
      <c r="D4761" t="inlineStr">
        <is>
          <t>VÄSTRA GÖTALANDS LÄN</t>
        </is>
      </c>
      <c r="E4761" t="inlineStr">
        <is>
          <t>TÖREBODA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64764-2020</t>
        </is>
      </c>
      <c r="B4762" s="1" t="n">
        <v>44169</v>
      </c>
      <c r="C4762" s="1" t="n">
        <v>45586</v>
      </c>
      <c r="D4762" t="inlineStr">
        <is>
          <t>VÄSTRA GÖTALANDS LÄN</t>
        </is>
      </c>
      <c r="E4762" t="inlineStr">
        <is>
          <t>MARK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64774-2020</t>
        </is>
      </c>
      <c r="B4763" s="1" t="n">
        <v>44169</v>
      </c>
      <c r="C4763" s="1" t="n">
        <v>45586</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65461-2020</t>
        </is>
      </c>
      <c r="B4764" s="1" t="n">
        <v>44170</v>
      </c>
      <c r="C4764" s="1" t="n">
        <v>45586</v>
      </c>
      <c r="D4764" t="inlineStr">
        <is>
          <t>VÄSTRA GÖTALANDS LÄN</t>
        </is>
      </c>
      <c r="E4764" t="inlineStr">
        <is>
          <t>MUNKEDAL</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64899-2020</t>
        </is>
      </c>
      <c r="B4765" s="1" t="n">
        <v>44171</v>
      </c>
      <c r="C4765" s="1" t="n">
        <v>45586</v>
      </c>
      <c r="D4765" t="inlineStr">
        <is>
          <t>VÄSTRA GÖTALANDS LÄN</t>
        </is>
      </c>
      <c r="E4765" t="inlineStr">
        <is>
          <t>TÖREBODA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64890-2020</t>
        </is>
      </c>
      <c r="B4766" s="1" t="n">
        <v>44171</v>
      </c>
      <c r="C4766" s="1" t="n">
        <v>45586</v>
      </c>
      <c r="D4766" t="inlineStr">
        <is>
          <t>VÄSTRA GÖTALANDS LÄN</t>
        </is>
      </c>
      <c r="E4766" t="inlineStr">
        <is>
          <t>BENGTSFORS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65471-2020</t>
        </is>
      </c>
      <c r="B4767" s="1" t="n">
        <v>44171</v>
      </c>
      <c r="C4767" s="1" t="n">
        <v>45586</v>
      </c>
      <c r="D4767" t="inlineStr">
        <is>
          <t>VÄSTRA GÖTALANDS LÄN</t>
        </is>
      </c>
      <c r="E4767" t="inlineStr">
        <is>
          <t>MUNKEDAL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65083-2020</t>
        </is>
      </c>
      <c r="B4768" s="1" t="n">
        <v>44172</v>
      </c>
      <c r="C4768" s="1" t="n">
        <v>45586</v>
      </c>
      <c r="D4768" t="inlineStr">
        <is>
          <t>VÄSTRA GÖTALANDS LÄN</t>
        </is>
      </c>
      <c r="E4768" t="inlineStr">
        <is>
          <t>HERRLJUNGA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64980-2020</t>
        </is>
      </c>
      <c r="B4769" s="1" t="n">
        <v>44172</v>
      </c>
      <c r="C4769" s="1" t="n">
        <v>45586</v>
      </c>
      <c r="D4769" t="inlineStr">
        <is>
          <t>VÄSTRA GÖTALANDS LÄN</t>
        </is>
      </c>
      <c r="E4769" t="inlineStr">
        <is>
          <t>TANUM</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64989-2020</t>
        </is>
      </c>
      <c r="B4770" s="1" t="n">
        <v>44172</v>
      </c>
      <c r="C4770" s="1" t="n">
        <v>45586</v>
      </c>
      <c r="D4770" t="inlineStr">
        <is>
          <t>VÄSTRA GÖTALANDS LÄN</t>
        </is>
      </c>
      <c r="E4770" t="inlineStr">
        <is>
          <t>STRÖMSTAD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65018-2020</t>
        </is>
      </c>
      <c r="B4771" s="1" t="n">
        <v>44172</v>
      </c>
      <c r="C4771" s="1" t="n">
        <v>45586</v>
      </c>
      <c r="D4771" t="inlineStr">
        <is>
          <t>VÄSTRA GÖTALANDS LÄN</t>
        </is>
      </c>
      <c r="E4771" t="inlineStr">
        <is>
          <t>BENGTSFORS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64952-2020</t>
        </is>
      </c>
      <c r="B4772" s="1" t="n">
        <v>44172</v>
      </c>
      <c r="C4772" s="1" t="n">
        <v>45586</v>
      </c>
      <c r="D4772" t="inlineStr">
        <is>
          <t>VÄSTRA GÖTALANDS LÄN</t>
        </is>
      </c>
      <c r="E4772" t="inlineStr">
        <is>
          <t>ALINGSÅS</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65079-2020</t>
        </is>
      </c>
      <c r="B4773" s="1" t="n">
        <v>44172</v>
      </c>
      <c r="C4773" s="1" t="n">
        <v>45586</v>
      </c>
      <c r="D4773" t="inlineStr">
        <is>
          <t>VÄSTRA GÖTALANDS LÄN</t>
        </is>
      </c>
      <c r="E4773" t="inlineStr">
        <is>
          <t>ORUST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65511-2020</t>
        </is>
      </c>
      <c r="B4774" s="1" t="n">
        <v>44172</v>
      </c>
      <c r="C4774" s="1" t="n">
        <v>45586</v>
      </c>
      <c r="D4774" t="inlineStr">
        <is>
          <t>VÄSTRA GÖTALANDS LÄN</t>
        </is>
      </c>
      <c r="E4774" t="inlineStr">
        <is>
          <t>FÄRGELANDA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65528-2020</t>
        </is>
      </c>
      <c r="B4775" s="1" t="n">
        <v>44172</v>
      </c>
      <c r="C4775" s="1" t="n">
        <v>45586</v>
      </c>
      <c r="D4775" t="inlineStr">
        <is>
          <t>VÄSTRA GÖTALANDS LÄN</t>
        </is>
      </c>
      <c r="E4775" t="inlineStr">
        <is>
          <t>HERRLJUNGA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65518-2020</t>
        </is>
      </c>
      <c r="B4776" s="1" t="n">
        <v>44172</v>
      </c>
      <c r="C4776" s="1" t="n">
        <v>45586</v>
      </c>
      <c r="D4776" t="inlineStr">
        <is>
          <t>VÄSTRA GÖTALANDS LÄN</t>
        </is>
      </c>
      <c r="E4776" t="inlineStr">
        <is>
          <t>FÄRGELANDA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65566-2020</t>
        </is>
      </c>
      <c r="B4777" s="1" t="n">
        <v>44173</v>
      </c>
      <c r="C4777" s="1" t="n">
        <v>45586</v>
      </c>
      <c r="D4777" t="inlineStr">
        <is>
          <t>VÄSTRA GÖTALANDS LÄN</t>
        </is>
      </c>
      <c r="E4777" t="inlineStr">
        <is>
          <t>BOLLEBYGD</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65586-2020</t>
        </is>
      </c>
      <c r="B4778" s="1" t="n">
        <v>44173</v>
      </c>
      <c r="C4778" s="1" t="n">
        <v>45586</v>
      </c>
      <c r="D4778" t="inlineStr">
        <is>
          <t>VÄSTRA GÖTALANDS LÄN</t>
        </is>
      </c>
      <c r="E4778" t="inlineStr">
        <is>
          <t>MARK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65558-2020</t>
        </is>
      </c>
      <c r="B4779" s="1" t="n">
        <v>44173</v>
      </c>
      <c r="C4779" s="1" t="n">
        <v>45586</v>
      </c>
      <c r="D4779" t="inlineStr">
        <is>
          <t>VÄSTRA GÖTALANDS LÄN</t>
        </is>
      </c>
      <c r="E4779" t="inlineStr">
        <is>
          <t>UDDEVALLA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65579-2020</t>
        </is>
      </c>
      <c r="B4780" s="1" t="n">
        <v>44173</v>
      </c>
      <c r="C4780" s="1" t="n">
        <v>45586</v>
      </c>
      <c r="D4780" t="inlineStr">
        <is>
          <t>VÄSTRA GÖTALANDS LÄN</t>
        </is>
      </c>
      <c r="E4780" t="inlineStr">
        <is>
          <t>SVENLJUNGA</t>
        </is>
      </c>
      <c r="F4780" t="inlineStr">
        <is>
          <t>Kyrkan</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65424-2020</t>
        </is>
      </c>
      <c r="B4781" s="1" t="n">
        <v>44173</v>
      </c>
      <c r="C4781" s="1" t="n">
        <v>45586</v>
      </c>
      <c r="D4781" t="inlineStr">
        <is>
          <t>VÄSTRA GÖTALANDS LÄN</t>
        </is>
      </c>
      <c r="E4781" t="inlineStr">
        <is>
          <t>VÄNERSBORG</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66077-2020</t>
        </is>
      </c>
      <c r="B4782" s="1" t="n">
        <v>44173</v>
      </c>
      <c r="C4782" s="1" t="n">
        <v>45586</v>
      </c>
      <c r="D4782" t="inlineStr">
        <is>
          <t>VÄSTRA GÖTALANDS LÄN</t>
        </is>
      </c>
      <c r="E4782" t="inlineStr">
        <is>
          <t>HJO</t>
        </is>
      </c>
      <c r="G4782" t="n">
        <v>20.8</v>
      </c>
      <c r="H4782" t="n">
        <v>0</v>
      </c>
      <c r="I4782" t="n">
        <v>0</v>
      </c>
      <c r="J4782" t="n">
        <v>0</v>
      </c>
      <c r="K4782" t="n">
        <v>0</v>
      </c>
      <c r="L4782" t="n">
        <v>0</v>
      </c>
      <c r="M4782" t="n">
        <v>0</v>
      </c>
      <c r="N4782" t="n">
        <v>0</v>
      </c>
      <c r="O4782" t="n">
        <v>0</v>
      </c>
      <c r="P4782" t="n">
        <v>0</v>
      </c>
      <c r="Q4782" t="n">
        <v>0</v>
      </c>
      <c r="R4782" s="2" t="inlineStr"/>
    </row>
    <row r="4783" ht="15" customHeight="1">
      <c r="A4783" t="inlineStr">
        <is>
          <t>A 66078-2020</t>
        </is>
      </c>
      <c r="B4783" s="1" t="n">
        <v>44173</v>
      </c>
      <c r="C4783" s="1" t="n">
        <v>45586</v>
      </c>
      <c r="D4783" t="inlineStr">
        <is>
          <t>VÄSTRA GÖTALANDS LÄN</t>
        </is>
      </c>
      <c r="E4783" t="inlineStr">
        <is>
          <t>BENGTSFORS</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65462-2020</t>
        </is>
      </c>
      <c r="B4784" s="1" t="n">
        <v>44173</v>
      </c>
      <c r="C4784" s="1" t="n">
        <v>45586</v>
      </c>
      <c r="D4784" t="inlineStr">
        <is>
          <t>VÄSTRA GÖTALANDS LÄN</t>
        </is>
      </c>
      <c r="E4784" t="inlineStr">
        <is>
          <t>HÄRRYDA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65995-2020</t>
        </is>
      </c>
      <c r="B4785" s="1" t="n">
        <v>44173</v>
      </c>
      <c r="C4785" s="1" t="n">
        <v>45586</v>
      </c>
      <c r="D4785" t="inlineStr">
        <is>
          <t>VÄSTRA GÖTALANDS LÄN</t>
        </is>
      </c>
      <c r="E4785" t="inlineStr">
        <is>
          <t>ULRICEHAMN</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65728-2020</t>
        </is>
      </c>
      <c r="B4786" s="1" t="n">
        <v>44174</v>
      </c>
      <c r="C4786" s="1" t="n">
        <v>45586</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65747-2020</t>
        </is>
      </c>
      <c r="B4787" s="1" t="n">
        <v>44174</v>
      </c>
      <c r="C4787" s="1" t="n">
        <v>45586</v>
      </c>
      <c r="D4787" t="inlineStr">
        <is>
          <t>VÄSTRA GÖTALANDS LÄN</t>
        </is>
      </c>
      <c r="E4787" t="inlineStr">
        <is>
          <t>BENGTSFORS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65844-2020</t>
        </is>
      </c>
      <c r="B4788" s="1" t="n">
        <v>44174</v>
      </c>
      <c r="C4788" s="1" t="n">
        <v>45586</v>
      </c>
      <c r="D4788" t="inlineStr">
        <is>
          <t>VÄSTRA GÖTALANDS LÄN</t>
        </is>
      </c>
      <c r="E4788" t="inlineStr">
        <is>
          <t>MARK</t>
        </is>
      </c>
      <c r="F4788" t="inlineStr">
        <is>
          <t>Kommuner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65883-2020</t>
        </is>
      </c>
      <c r="B4789" s="1" t="n">
        <v>44174</v>
      </c>
      <c r="C4789" s="1" t="n">
        <v>45586</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65749-2020</t>
        </is>
      </c>
      <c r="B4790" s="1" t="n">
        <v>44174</v>
      </c>
      <c r="C4790" s="1" t="n">
        <v>45586</v>
      </c>
      <c r="D4790" t="inlineStr">
        <is>
          <t>VÄSTRA GÖTALANDS LÄN</t>
        </is>
      </c>
      <c r="E4790" t="inlineStr">
        <is>
          <t>SVENLJUNGA</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65803-2020</t>
        </is>
      </c>
      <c r="B4791" s="1" t="n">
        <v>44174</v>
      </c>
      <c r="C4791" s="1" t="n">
        <v>45586</v>
      </c>
      <c r="D4791" t="inlineStr">
        <is>
          <t>VÄSTRA GÖTALANDS LÄN</t>
        </is>
      </c>
      <c r="E4791" t="inlineStr">
        <is>
          <t>BOLLEBYGD</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65878-2020</t>
        </is>
      </c>
      <c r="B4792" s="1" t="n">
        <v>44174</v>
      </c>
      <c r="C4792" s="1" t="n">
        <v>45586</v>
      </c>
      <c r="D4792" t="inlineStr">
        <is>
          <t>VÄSTRA GÖTALANDS LÄN</t>
        </is>
      </c>
      <c r="E4792" t="inlineStr">
        <is>
          <t>HERRLJUNGA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65909-2020</t>
        </is>
      </c>
      <c r="B4793" s="1" t="n">
        <v>44175</v>
      </c>
      <c r="C4793" s="1" t="n">
        <v>45586</v>
      </c>
      <c r="D4793" t="inlineStr">
        <is>
          <t>VÄSTRA GÖTALANDS LÄN</t>
        </is>
      </c>
      <c r="E4793" t="inlineStr">
        <is>
          <t>UDDEVALLA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66009-2020</t>
        </is>
      </c>
      <c r="B4794" s="1" t="n">
        <v>44175</v>
      </c>
      <c r="C4794" s="1" t="n">
        <v>45586</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65964-2020</t>
        </is>
      </c>
      <c r="B4795" s="1" t="n">
        <v>44175</v>
      </c>
      <c r="C4795" s="1" t="n">
        <v>45586</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66050-2020</t>
        </is>
      </c>
      <c r="B4796" s="1" t="n">
        <v>44175</v>
      </c>
      <c r="C4796" s="1" t="n">
        <v>45586</v>
      </c>
      <c r="D4796" t="inlineStr">
        <is>
          <t>VÄSTRA GÖTALANDS LÄN</t>
        </is>
      </c>
      <c r="E4796" t="inlineStr">
        <is>
          <t>TÖREBODA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66110-2020</t>
        </is>
      </c>
      <c r="B4797" s="1" t="n">
        <v>44175</v>
      </c>
      <c r="C4797" s="1" t="n">
        <v>45586</v>
      </c>
      <c r="D4797" t="inlineStr">
        <is>
          <t>VÄSTRA GÖTALANDS LÄN</t>
        </is>
      </c>
      <c r="E4797" t="inlineStr">
        <is>
          <t>VÅRGÅRDA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66123-2020</t>
        </is>
      </c>
      <c r="B4798" s="1" t="n">
        <v>44175</v>
      </c>
      <c r="C4798" s="1" t="n">
        <v>45586</v>
      </c>
      <c r="D4798" t="inlineStr">
        <is>
          <t>VÄSTRA GÖTALANDS LÄN</t>
        </is>
      </c>
      <c r="E4798" t="inlineStr">
        <is>
          <t>VÅRGÅRDA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66155-2020</t>
        </is>
      </c>
      <c r="B4799" s="1" t="n">
        <v>44175</v>
      </c>
      <c r="C4799" s="1" t="n">
        <v>45586</v>
      </c>
      <c r="D4799" t="inlineStr">
        <is>
          <t>VÄSTRA GÖTALANDS LÄN</t>
        </is>
      </c>
      <c r="E4799" t="inlineStr">
        <is>
          <t>VÅRGÅRDA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66148-2020</t>
        </is>
      </c>
      <c r="B4800" s="1" t="n">
        <v>44175</v>
      </c>
      <c r="C4800" s="1" t="n">
        <v>45586</v>
      </c>
      <c r="D4800" t="inlineStr">
        <is>
          <t>VÄSTRA GÖTALANDS LÄN</t>
        </is>
      </c>
      <c r="E4800" t="inlineStr">
        <is>
          <t>VÅRGÅRDA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66183-2020</t>
        </is>
      </c>
      <c r="B4801" s="1" t="n">
        <v>44175</v>
      </c>
      <c r="C4801" s="1" t="n">
        <v>45586</v>
      </c>
      <c r="D4801" t="inlineStr">
        <is>
          <t>VÄSTRA GÖTALANDS LÄN</t>
        </is>
      </c>
      <c r="E4801" t="inlineStr">
        <is>
          <t>TRANEMO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65929-2020</t>
        </is>
      </c>
      <c r="B4802" s="1" t="n">
        <v>44175</v>
      </c>
      <c r="C4802" s="1" t="n">
        <v>45586</v>
      </c>
      <c r="D4802" t="inlineStr">
        <is>
          <t>VÄSTRA GÖTALANDS LÄN</t>
        </is>
      </c>
      <c r="E4802" t="inlineStr">
        <is>
          <t>HERRLJUNGA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66406-2020</t>
        </is>
      </c>
      <c r="B4803" s="1" t="n">
        <v>44176</v>
      </c>
      <c r="C4803" s="1" t="n">
        <v>45586</v>
      </c>
      <c r="D4803" t="inlineStr">
        <is>
          <t>VÄSTRA GÖTALANDS LÄN</t>
        </is>
      </c>
      <c r="E4803" t="inlineStr">
        <is>
          <t>GULLSPÅNG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66437-2020</t>
        </is>
      </c>
      <c r="B4804" s="1" t="n">
        <v>44176</v>
      </c>
      <c r="C4804" s="1" t="n">
        <v>45586</v>
      </c>
      <c r="D4804" t="inlineStr">
        <is>
          <t>VÄSTRA GÖTALANDS LÄN</t>
        </is>
      </c>
      <c r="E4804" t="inlineStr">
        <is>
          <t>TRANEMO</t>
        </is>
      </c>
      <c r="G4804" t="n">
        <v>22.5</v>
      </c>
      <c r="H4804" t="n">
        <v>0</v>
      </c>
      <c r="I4804" t="n">
        <v>0</v>
      </c>
      <c r="J4804" t="n">
        <v>0</v>
      </c>
      <c r="K4804" t="n">
        <v>0</v>
      </c>
      <c r="L4804" t="n">
        <v>0</v>
      </c>
      <c r="M4804" t="n">
        <v>0</v>
      </c>
      <c r="N4804" t="n">
        <v>0</v>
      </c>
      <c r="O4804" t="n">
        <v>0</v>
      </c>
      <c r="P4804" t="n">
        <v>0</v>
      </c>
      <c r="Q4804" t="n">
        <v>0</v>
      </c>
      <c r="R4804" s="2" t="inlineStr"/>
    </row>
    <row r="4805" ht="15" customHeight="1">
      <c r="A4805" t="inlineStr">
        <is>
          <t>A 66466-2020</t>
        </is>
      </c>
      <c r="B4805" s="1" t="n">
        <v>44176</v>
      </c>
      <c r="C4805" s="1" t="n">
        <v>45586</v>
      </c>
      <c r="D4805" t="inlineStr">
        <is>
          <t>VÄSTRA GÖTALANDS LÄN</t>
        </is>
      </c>
      <c r="E4805" t="inlineStr">
        <is>
          <t>ALE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66364-2020</t>
        </is>
      </c>
      <c r="B4806" s="1" t="n">
        <v>44176</v>
      </c>
      <c r="C4806" s="1" t="n">
        <v>45586</v>
      </c>
      <c r="D4806" t="inlineStr">
        <is>
          <t>VÄSTRA GÖTALANDS LÄN</t>
        </is>
      </c>
      <c r="E4806" t="inlineStr">
        <is>
          <t>BENGTSFORS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66467-2020</t>
        </is>
      </c>
      <c r="B4807" s="1" t="n">
        <v>44176</v>
      </c>
      <c r="C4807" s="1" t="n">
        <v>45586</v>
      </c>
      <c r="D4807" t="inlineStr">
        <is>
          <t>VÄSTRA GÖTALANDS LÄN</t>
        </is>
      </c>
      <c r="E4807" t="inlineStr">
        <is>
          <t>ALE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66488-2020</t>
        </is>
      </c>
      <c r="B4808" s="1" t="n">
        <v>44177</v>
      </c>
      <c r="C4808" s="1" t="n">
        <v>45586</v>
      </c>
      <c r="D4808" t="inlineStr">
        <is>
          <t>VÄSTRA GÖTALANDS LÄN</t>
        </is>
      </c>
      <c r="E4808" t="inlineStr">
        <is>
          <t>UDDEVALLA</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66487-2020</t>
        </is>
      </c>
      <c r="B4809" s="1" t="n">
        <v>44177</v>
      </c>
      <c r="C4809" s="1" t="n">
        <v>45586</v>
      </c>
      <c r="D4809" t="inlineStr">
        <is>
          <t>VÄSTRA GÖTALANDS LÄN</t>
        </is>
      </c>
      <c r="E4809" t="inlineStr">
        <is>
          <t>UDDEVALLA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66569-2020</t>
        </is>
      </c>
      <c r="B4810" s="1" t="n">
        <v>44179</v>
      </c>
      <c r="C4810" s="1" t="n">
        <v>45586</v>
      </c>
      <c r="D4810" t="inlineStr">
        <is>
          <t>VÄSTRA GÖTALANDS LÄN</t>
        </is>
      </c>
      <c r="E4810" t="inlineStr">
        <is>
          <t>BENGTSFORS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66534-2020</t>
        </is>
      </c>
      <c r="B4811" s="1" t="n">
        <v>44179</v>
      </c>
      <c r="C4811" s="1" t="n">
        <v>45586</v>
      </c>
      <c r="D4811" t="inlineStr">
        <is>
          <t>VÄSTRA GÖTALANDS LÄN</t>
        </is>
      </c>
      <c r="E4811" t="inlineStr">
        <is>
          <t>TÖREBODA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66551-2020</t>
        </is>
      </c>
      <c r="B4812" s="1" t="n">
        <v>44179</v>
      </c>
      <c r="C4812" s="1" t="n">
        <v>45586</v>
      </c>
      <c r="D4812" t="inlineStr">
        <is>
          <t>VÄSTRA GÖTALANDS LÄN</t>
        </is>
      </c>
      <c r="E4812" t="inlineStr">
        <is>
          <t>ALE</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66588-2020</t>
        </is>
      </c>
      <c r="B4813" s="1" t="n">
        <v>44179</v>
      </c>
      <c r="C4813" s="1" t="n">
        <v>45586</v>
      </c>
      <c r="D4813" t="inlineStr">
        <is>
          <t>VÄSTRA GÖTALANDS LÄN</t>
        </is>
      </c>
      <c r="E4813" t="inlineStr">
        <is>
          <t>TANUM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66630-2020</t>
        </is>
      </c>
      <c r="B4814" s="1" t="n">
        <v>44179</v>
      </c>
      <c r="C4814" s="1" t="n">
        <v>45586</v>
      </c>
      <c r="D4814" t="inlineStr">
        <is>
          <t>VÄSTRA GÖTALANDS LÄN</t>
        </is>
      </c>
      <c r="E4814" t="inlineStr">
        <is>
          <t>ULRICEHAMN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66560-2020</t>
        </is>
      </c>
      <c r="B4815" s="1" t="n">
        <v>44179</v>
      </c>
      <c r="C4815" s="1" t="n">
        <v>45586</v>
      </c>
      <c r="D4815" t="inlineStr">
        <is>
          <t>VÄSTRA GÖTALANDS LÄN</t>
        </is>
      </c>
      <c r="E4815" t="inlineStr">
        <is>
          <t>BORÅS</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66530-2020</t>
        </is>
      </c>
      <c r="B4816" s="1" t="n">
        <v>44179</v>
      </c>
      <c r="C4816" s="1" t="n">
        <v>45586</v>
      </c>
      <c r="D4816" t="inlineStr">
        <is>
          <t>VÄSTRA GÖTALANDS LÄN</t>
        </is>
      </c>
      <c r="E4816" t="inlineStr">
        <is>
          <t>KARLSBORG</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66624-2020</t>
        </is>
      </c>
      <c r="B4817" s="1" t="n">
        <v>44179</v>
      </c>
      <c r="C4817" s="1" t="n">
        <v>45586</v>
      </c>
      <c r="D4817" t="inlineStr">
        <is>
          <t>VÄSTRA GÖTALANDS LÄN</t>
        </is>
      </c>
      <c r="E4817" t="inlineStr">
        <is>
          <t>TANUM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66633-2020</t>
        </is>
      </c>
      <c r="B4818" s="1" t="n">
        <v>44179</v>
      </c>
      <c r="C4818" s="1" t="n">
        <v>45586</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66724-2020</t>
        </is>
      </c>
      <c r="B4819" s="1" t="n">
        <v>44179</v>
      </c>
      <c r="C4819" s="1" t="n">
        <v>45586</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66638-2020</t>
        </is>
      </c>
      <c r="B4820" s="1" t="n">
        <v>44179</v>
      </c>
      <c r="C4820" s="1" t="n">
        <v>45586</v>
      </c>
      <c r="D4820" t="inlineStr">
        <is>
          <t>VÄSTRA GÖTALANDS LÄN</t>
        </is>
      </c>
      <c r="E4820" t="inlineStr">
        <is>
          <t>TANUM</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66728-2020</t>
        </is>
      </c>
      <c r="B4821" s="1" t="n">
        <v>44179</v>
      </c>
      <c r="C4821" s="1" t="n">
        <v>45586</v>
      </c>
      <c r="D4821" t="inlineStr">
        <is>
          <t>VÄSTRA GÖTALANDS LÄN</t>
        </is>
      </c>
      <c r="E4821" t="inlineStr">
        <is>
          <t>HERRLJUNGA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67170-2020</t>
        </is>
      </c>
      <c r="B4822" s="1" t="n">
        <v>44180</v>
      </c>
      <c r="C4822" s="1" t="n">
        <v>45586</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67113-2020</t>
        </is>
      </c>
      <c r="B4823" s="1" t="n">
        <v>44180</v>
      </c>
      <c r="C4823" s="1" t="n">
        <v>45586</v>
      </c>
      <c r="D4823" t="inlineStr">
        <is>
          <t>VÄSTRA GÖTALANDS LÄN</t>
        </is>
      </c>
      <c r="E4823" t="inlineStr">
        <is>
          <t>DALS-ED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66929-2020</t>
        </is>
      </c>
      <c r="B4824" s="1" t="n">
        <v>44180</v>
      </c>
      <c r="C4824" s="1" t="n">
        <v>45586</v>
      </c>
      <c r="D4824" t="inlineStr">
        <is>
          <t>VÄSTRA GÖTALANDS LÄN</t>
        </is>
      </c>
      <c r="E4824" t="inlineStr">
        <is>
          <t>BENGTSFORS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67177-2020</t>
        </is>
      </c>
      <c r="B4825" s="1" t="n">
        <v>44180</v>
      </c>
      <c r="C4825" s="1" t="n">
        <v>45586</v>
      </c>
      <c r="D4825" t="inlineStr">
        <is>
          <t>VÄSTRA GÖTALANDS LÄN</t>
        </is>
      </c>
      <c r="E4825" t="inlineStr">
        <is>
          <t>GÖTENE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67140-2020</t>
        </is>
      </c>
      <c r="B4826" s="1" t="n">
        <v>44180</v>
      </c>
      <c r="C4826" s="1" t="n">
        <v>45586</v>
      </c>
      <c r="D4826" t="inlineStr">
        <is>
          <t>VÄSTRA GÖTALANDS LÄN</t>
        </is>
      </c>
      <c r="E4826" t="inlineStr">
        <is>
          <t>ULRICEHAMN</t>
        </is>
      </c>
      <c r="F4826" t="inlineStr">
        <is>
          <t>Kyrkan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66864-2020</t>
        </is>
      </c>
      <c r="B4827" s="1" t="n">
        <v>44180</v>
      </c>
      <c r="C4827" s="1" t="n">
        <v>45586</v>
      </c>
      <c r="D4827" t="inlineStr">
        <is>
          <t>VÄSTRA GÖTALANDS LÄN</t>
        </is>
      </c>
      <c r="E4827" t="inlineStr">
        <is>
          <t>MARIESTAD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67443-2020</t>
        </is>
      </c>
      <c r="B4828" s="1" t="n">
        <v>44181</v>
      </c>
      <c r="C4828" s="1" t="n">
        <v>45586</v>
      </c>
      <c r="D4828" t="inlineStr">
        <is>
          <t>VÄSTRA GÖTALANDS LÄN</t>
        </is>
      </c>
      <c r="E4828" t="inlineStr">
        <is>
          <t>KARLSBORG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67554-2020</t>
        </is>
      </c>
      <c r="B4829" s="1" t="n">
        <v>44181</v>
      </c>
      <c r="C4829" s="1" t="n">
        <v>45586</v>
      </c>
      <c r="D4829" t="inlineStr">
        <is>
          <t>VÄSTRA GÖTALANDS LÄN</t>
        </is>
      </c>
      <c r="E4829" t="inlineStr">
        <is>
          <t>KARLSBORG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67350-2020</t>
        </is>
      </c>
      <c r="B4830" s="1" t="n">
        <v>44181</v>
      </c>
      <c r="C4830" s="1" t="n">
        <v>45586</v>
      </c>
      <c r="D4830" t="inlineStr">
        <is>
          <t>VÄSTRA GÖTALANDS LÄN</t>
        </is>
      </c>
      <c r="E4830" t="inlineStr">
        <is>
          <t>HÄRRYDA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67405-2020</t>
        </is>
      </c>
      <c r="B4831" s="1" t="n">
        <v>44181</v>
      </c>
      <c r="C4831" s="1" t="n">
        <v>45586</v>
      </c>
      <c r="D4831" t="inlineStr">
        <is>
          <t>VÄSTRA GÖTALANDS LÄN</t>
        </is>
      </c>
      <c r="E4831" t="inlineStr">
        <is>
          <t>VARA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67556-2020</t>
        </is>
      </c>
      <c r="B4832" s="1" t="n">
        <v>44181</v>
      </c>
      <c r="C4832" s="1" t="n">
        <v>45586</v>
      </c>
      <c r="D4832" t="inlineStr">
        <is>
          <t>VÄSTRA GÖTALANDS LÄN</t>
        </is>
      </c>
      <c r="E4832" t="inlineStr">
        <is>
          <t>FALKÖPING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67565-2020</t>
        </is>
      </c>
      <c r="B4833" s="1" t="n">
        <v>44181</v>
      </c>
      <c r="C4833" s="1" t="n">
        <v>45586</v>
      </c>
      <c r="D4833" t="inlineStr">
        <is>
          <t>VÄSTRA GÖTALANDS LÄN</t>
        </is>
      </c>
      <c r="E4833" t="inlineStr">
        <is>
          <t>VARA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67265-2020</t>
        </is>
      </c>
      <c r="B4834" s="1" t="n">
        <v>44181</v>
      </c>
      <c r="C4834" s="1" t="n">
        <v>45586</v>
      </c>
      <c r="D4834" t="inlineStr">
        <is>
          <t>VÄSTRA GÖTALANDS LÄN</t>
        </is>
      </c>
      <c r="E4834" t="inlineStr">
        <is>
          <t>UDDEVALLA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67345-2020</t>
        </is>
      </c>
      <c r="B4835" s="1" t="n">
        <v>44181</v>
      </c>
      <c r="C4835" s="1" t="n">
        <v>45586</v>
      </c>
      <c r="D4835" t="inlineStr">
        <is>
          <t>VÄSTRA GÖTALANDS LÄN</t>
        </is>
      </c>
      <c r="E4835" t="inlineStr">
        <is>
          <t>ULRICEHAMN</t>
        </is>
      </c>
      <c r="F4835" t="inlineStr">
        <is>
          <t>Kommuner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67772-2020</t>
        </is>
      </c>
      <c r="B4836" s="1" t="n">
        <v>44181</v>
      </c>
      <c r="C4836" s="1" t="n">
        <v>45586</v>
      </c>
      <c r="D4836" t="inlineStr">
        <is>
          <t>VÄSTRA GÖTALANDS LÄN</t>
        </is>
      </c>
      <c r="E4836" t="inlineStr">
        <is>
          <t>LIDKÖPING</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67759-2020</t>
        </is>
      </c>
      <c r="B4837" s="1" t="n">
        <v>44181</v>
      </c>
      <c r="C4837" s="1" t="n">
        <v>45586</v>
      </c>
      <c r="D4837" t="inlineStr">
        <is>
          <t>VÄSTRA GÖTALANDS LÄN</t>
        </is>
      </c>
      <c r="E4837" t="inlineStr">
        <is>
          <t>LIDKÖPING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67775-2020</t>
        </is>
      </c>
      <c r="B4838" s="1" t="n">
        <v>44181</v>
      </c>
      <c r="C4838" s="1" t="n">
        <v>45586</v>
      </c>
      <c r="D4838" t="inlineStr">
        <is>
          <t>VÄSTRA GÖTALANDS LÄN</t>
        </is>
      </c>
      <c r="E4838" t="inlineStr">
        <is>
          <t>LIDKÖPING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67295-2020</t>
        </is>
      </c>
      <c r="B4839" s="1" t="n">
        <v>44181</v>
      </c>
      <c r="C4839" s="1" t="n">
        <v>45586</v>
      </c>
      <c r="D4839" t="inlineStr">
        <is>
          <t>VÄSTRA GÖTALANDS LÄN</t>
        </is>
      </c>
      <c r="E4839" t="inlineStr">
        <is>
          <t>SKÖVDE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67768-2020</t>
        </is>
      </c>
      <c r="B4840" s="1" t="n">
        <v>44181</v>
      </c>
      <c r="C4840" s="1" t="n">
        <v>45586</v>
      </c>
      <c r="D4840" t="inlineStr">
        <is>
          <t>VÄSTRA GÖTALANDS LÄN</t>
        </is>
      </c>
      <c r="E4840" t="inlineStr">
        <is>
          <t>LIDKÖPING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67453-2020</t>
        </is>
      </c>
      <c r="B4841" s="1" t="n">
        <v>44181</v>
      </c>
      <c r="C4841" s="1" t="n">
        <v>45586</v>
      </c>
      <c r="D4841" t="inlineStr">
        <is>
          <t>VÄSTRA GÖTALANDS LÄN</t>
        </is>
      </c>
      <c r="E4841" t="inlineStr">
        <is>
          <t>VARA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67764-2020</t>
        </is>
      </c>
      <c r="B4842" s="1" t="n">
        <v>44181</v>
      </c>
      <c r="C4842" s="1" t="n">
        <v>45586</v>
      </c>
      <c r="D4842" t="inlineStr">
        <is>
          <t>VÄSTRA GÖTALANDS LÄN</t>
        </is>
      </c>
      <c r="E4842" t="inlineStr">
        <is>
          <t>LIDKÖPING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67712-2020</t>
        </is>
      </c>
      <c r="B4843" s="1" t="n">
        <v>44182</v>
      </c>
      <c r="C4843" s="1" t="n">
        <v>45586</v>
      </c>
      <c r="D4843" t="inlineStr">
        <is>
          <t>VÄSTRA GÖTALANDS LÄN</t>
        </is>
      </c>
      <c r="E4843" t="inlineStr">
        <is>
          <t>FALKÖPING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67835-2020</t>
        </is>
      </c>
      <c r="B4844" s="1" t="n">
        <v>44182</v>
      </c>
      <c r="C4844" s="1" t="n">
        <v>45586</v>
      </c>
      <c r="D4844" t="inlineStr">
        <is>
          <t>VÄSTRA GÖTALANDS LÄN</t>
        </is>
      </c>
      <c r="E4844" t="inlineStr">
        <is>
          <t>BOLLEBYGD</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67662-2020</t>
        </is>
      </c>
      <c r="B4845" s="1" t="n">
        <v>44182</v>
      </c>
      <c r="C4845" s="1" t="n">
        <v>45586</v>
      </c>
      <c r="D4845" t="inlineStr">
        <is>
          <t>VÄSTRA GÖTALANDS LÄN</t>
        </is>
      </c>
      <c r="E4845" t="inlineStr">
        <is>
          <t>ALINGSÅS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67752-2020</t>
        </is>
      </c>
      <c r="B4846" s="1" t="n">
        <v>44182</v>
      </c>
      <c r="C4846" s="1" t="n">
        <v>45586</v>
      </c>
      <c r="D4846" t="inlineStr">
        <is>
          <t>VÄSTRA GÖTALANDS LÄN</t>
        </is>
      </c>
      <c r="E4846" t="inlineStr">
        <is>
          <t>ORUST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67690-2020</t>
        </is>
      </c>
      <c r="B4847" s="1" t="n">
        <v>44182</v>
      </c>
      <c r="C4847" s="1" t="n">
        <v>45586</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67873-2020</t>
        </is>
      </c>
      <c r="B4848" s="1" t="n">
        <v>44182</v>
      </c>
      <c r="C4848" s="1" t="n">
        <v>45586</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68347-2020</t>
        </is>
      </c>
      <c r="B4849" s="1" t="n">
        <v>44182</v>
      </c>
      <c r="C4849" s="1" t="n">
        <v>45586</v>
      </c>
      <c r="D4849" t="inlineStr">
        <is>
          <t>VÄSTRA GÖTALANDS LÄN</t>
        </is>
      </c>
      <c r="E4849" t="inlineStr">
        <is>
          <t>DALS-ED</t>
        </is>
      </c>
      <c r="F4849" t="inlineStr">
        <is>
          <t>Kyrkan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68411-2020</t>
        </is>
      </c>
      <c r="B4850" s="1" t="n">
        <v>44182</v>
      </c>
      <c r="C4850" s="1" t="n">
        <v>45586</v>
      </c>
      <c r="D4850" t="inlineStr">
        <is>
          <t>VÄSTRA GÖTALANDS LÄN</t>
        </is>
      </c>
      <c r="E4850" t="inlineStr">
        <is>
          <t>VÄNERSBORG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67949-2020</t>
        </is>
      </c>
      <c r="B4851" s="1" t="n">
        <v>44182</v>
      </c>
      <c r="C4851" s="1" t="n">
        <v>45586</v>
      </c>
      <c r="D4851" t="inlineStr">
        <is>
          <t>VÄSTRA GÖTALANDS LÄN</t>
        </is>
      </c>
      <c r="E4851" t="inlineStr">
        <is>
          <t>ULRICEHAMN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67970-2020</t>
        </is>
      </c>
      <c r="B4852" s="1" t="n">
        <v>44182</v>
      </c>
      <c r="C4852" s="1" t="n">
        <v>45586</v>
      </c>
      <c r="D4852" t="inlineStr">
        <is>
          <t>VÄSTRA GÖTALANDS LÄN</t>
        </is>
      </c>
      <c r="E4852" t="inlineStr">
        <is>
          <t>KARLSBORG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68152-2020</t>
        </is>
      </c>
      <c r="B4853" s="1" t="n">
        <v>44183</v>
      </c>
      <c r="C4853" s="1" t="n">
        <v>45586</v>
      </c>
      <c r="D4853" t="inlineStr">
        <is>
          <t>VÄSTRA GÖTALANDS LÄN</t>
        </is>
      </c>
      <c r="E4853" t="inlineStr">
        <is>
          <t>BORÅS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68149-2020</t>
        </is>
      </c>
      <c r="B4854" s="1" t="n">
        <v>44183</v>
      </c>
      <c r="C4854" s="1" t="n">
        <v>45586</v>
      </c>
      <c r="D4854" t="inlineStr">
        <is>
          <t>VÄSTRA GÖTALANDS LÄN</t>
        </is>
      </c>
      <c r="E4854" t="inlineStr">
        <is>
          <t>BORÅS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68157-2020</t>
        </is>
      </c>
      <c r="B4855" s="1" t="n">
        <v>44183</v>
      </c>
      <c r="C4855" s="1" t="n">
        <v>45586</v>
      </c>
      <c r="D4855" t="inlineStr">
        <is>
          <t>VÄSTRA GÖTALANDS LÄN</t>
        </is>
      </c>
      <c r="E4855" t="inlineStr">
        <is>
          <t>BORÅS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68153-2020</t>
        </is>
      </c>
      <c r="B4856" s="1" t="n">
        <v>44183</v>
      </c>
      <c r="C4856" s="1" t="n">
        <v>45586</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68278-2020</t>
        </is>
      </c>
      <c r="B4857" s="1" t="n">
        <v>44183</v>
      </c>
      <c r="C4857" s="1" t="n">
        <v>45586</v>
      </c>
      <c r="D4857" t="inlineStr">
        <is>
          <t>VÄSTRA GÖTALANDS LÄN</t>
        </is>
      </c>
      <c r="E4857" t="inlineStr">
        <is>
          <t>BENGTSFORS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68507-2020</t>
        </is>
      </c>
      <c r="B4858" s="1" t="n">
        <v>44183</v>
      </c>
      <c r="C4858" s="1" t="n">
        <v>45586</v>
      </c>
      <c r="D4858" t="inlineStr">
        <is>
          <t>VÄSTRA GÖTALANDS LÄN</t>
        </is>
      </c>
      <c r="E4858" t="inlineStr">
        <is>
          <t>VARA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68500-2020</t>
        </is>
      </c>
      <c r="B4859" s="1" t="n">
        <v>44183</v>
      </c>
      <c r="C4859" s="1" t="n">
        <v>45586</v>
      </c>
      <c r="D4859" t="inlineStr">
        <is>
          <t>VÄSTRA GÖTALANDS LÄN</t>
        </is>
      </c>
      <c r="E4859" t="inlineStr">
        <is>
          <t>LIDKÖPING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68300-2020</t>
        </is>
      </c>
      <c r="B4860" s="1" t="n">
        <v>44184</v>
      </c>
      <c r="C4860" s="1" t="n">
        <v>45586</v>
      </c>
      <c r="D4860" t="inlineStr">
        <is>
          <t>VÄSTRA GÖTALANDS LÄN</t>
        </is>
      </c>
      <c r="E4860" t="inlineStr">
        <is>
          <t>BORÅS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68451-2020</t>
        </is>
      </c>
      <c r="B4861" s="1" t="n">
        <v>44186</v>
      </c>
      <c r="C4861" s="1" t="n">
        <v>45586</v>
      </c>
      <c r="D4861" t="inlineStr">
        <is>
          <t>VÄSTRA GÖTALANDS LÄN</t>
        </is>
      </c>
      <c r="E4861" t="inlineStr">
        <is>
          <t>TIDAHOLM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68488-2020</t>
        </is>
      </c>
      <c r="B4862" s="1" t="n">
        <v>44186</v>
      </c>
      <c r="C4862" s="1" t="n">
        <v>45586</v>
      </c>
      <c r="D4862" t="inlineStr">
        <is>
          <t>VÄSTRA GÖTALANDS LÄN</t>
        </is>
      </c>
      <c r="E4862" t="inlineStr">
        <is>
          <t>TROLLHÄTTAN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68526-2020</t>
        </is>
      </c>
      <c r="B4863" s="1" t="n">
        <v>44186</v>
      </c>
      <c r="C4863" s="1" t="n">
        <v>45586</v>
      </c>
      <c r="D4863" t="inlineStr">
        <is>
          <t>VÄSTRA GÖTALANDS LÄN</t>
        </is>
      </c>
      <c r="E4863" t="inlineStr">
        <is>
          <t>TRANEMO</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68818-2020</t>
        </is>
      </c>
      <c r="B4864" s="1" t="n">
        <v>44186</v>
      </c>
      <c r="C4864" s="1" t="n">
        <v>45586</v>
      </c>
      <c r="D4864" t="inlineStr">
        <is>
          <t>VÄSTRA GÖTALANDS LÄN</t>
        </is>
      </c>
      <c r="E4864" t="inlineStr">
        <is>
          <t>MELLERUD</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68566-2020</t>
        </is>
      </c>
      <c r="B4865" s="1" t="n">
        <v>44186</v>
      </c>
      <c r="C4865" s="1" t="n">
        <v>45586</v>
      </c>
      <c r="D4865" t="inlineStr">
        <is>
          <t>VÄSTRA GÖTALANDS LÄN</t>
        </is>
      </c>
      <c r="E4865" t="inlineStr">
        <is>
          <t>BORÅS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68569-2020</t>
        </is>
      </c>
      <c r="B4866" s="1" t="n">
        <v>44186</v>
      </c>
      <c r="C4866" s="1" t="n">
        <v>45586</v>
      </c>
      <c r="D4866" t="inlineStr">
        <is>
          <t>VÄSTRA GÖTALANDS LÄN</t>
        </is>
      </c>
      <c r="E4866" t="inlineStr">
        <is>
          <t>VÅRGÅRDA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68883-2020</t>
        </is>
      </c>
      <c r="B4867" s="1" t="n">
        <v>44187</v>
      </c>
      <c r="C4867" s="1" t="n">
        <v>45586</v>
      </c>
      <c r="D4867" t="inlineStr">
        <is>
          <t>VÄSTRA GÖTALANDS LÄN</t>
        </is>
      </c>
      <c r="E4867" t="inlineStr">
        <is>
          <t>SVENLJUNGA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68906-2020</t>
        </is>
      </c>
      <c r="B4868" s="1" t="n">
        <v>44187</v>
      </c>
      <c r="C4868" s="1" t="n">
        <v>45586</v>
      </c>
      <c r="D4868" t="inlineStr">
        <is>
          <t>VÄSTRA GÖTALANDS LÄN</t>
        </is>
      </c>
      <c r="E4868" t="inlineStr">
        <is>
          <t>LIDKÖPING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68671-2020</t>
        </is>
      </c>
      <c r="B4869" s="1" t="n">
        <v>44187</v>
      </c>
      <c r="C4869" s="1" t="n">
        <v>45586</v>
      </c>
      <c r="D4869" t="inlineStr">
        <is>
          <t>VÄSTRA GÖTALANDS LÄN</t>
        </is>
      </c>
      <c r="E4869" t="inlineStr">
        <is>
          <t>MELLERUD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68902-2020</t>
        </is>
      </c>
      <c r="B4870" s="1" t="n">
        <v>44187</v>
      </c>
      <c r="C4870" s="1" t="n">
        <v>45586</v>
      </c>
      <c r="D4870" t="inlineStr">
        <is>
          <t>VÄSTRA GÖTALANDS LÄN</t>
        </is>
      </c>
      <c r="E4870" t="inlineStr">
        <is>
          <t>LIDKÖPING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69106-2020</t>
        </is>
      </c>
      <c r="B4871" s="1" t="n">
        <v>44187</v>
      </c>
      <c r="C4871" s="1" t="n">
        <v>45586</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69052-2020</t>
        </is>
      </c>
      <c r="B4872" s="1" t="n">
        <v>44188</v>
      </c>
      <c r="C4872" s="1" t="n">
        <v>45586</v>
      </c>
      <c r="D4872" t="inlineStr">
        <is>
          <t>VÄSTRA GÖTALANDS LÄN</t>
        </is>
      </c>
      <c r="E4872" t="inlineStr">
        <is>
          <t>SKARA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69097-2020</t>
        </is>
      </c>
      <c r="B4873" s="1" t="n">
        <v>44188</v>
      </c>
      <c r="C4873" s="1" t="n">
        <v>45586</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69116-2020</t>
        </is>
      </c>
      <c r="B4874" s="1" t="n">
        <v>44188</v>
      </c>
      <c r="C4874" s="1" t="n">
        <v>45586</v>
      </c>
      <c r="D4874" t="inlineStr">
        <is>
          <t>VÄSTRA GÖTALANDS LÄN</t>
        </is>
      </c>
      <c r="E4874" t="inlineStr">
        <is>
          <t>FÄRGELANDA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69122-2020</t>
        </is>
      </c>
      <c r="B4875" s="1" t="n">
        <v>44188</v>
      </c>
      <c r="C4875" s="1" t="n">
        <v>45586</v>
      </c>
      <c r="D4875" t="inlineStr">
        <is>
          <t>VÄSTRA GÖTALANDS LÄN</t>
        </is>
      </c>
      <c r="E4875" t="inlineStr">
        <is>
          <t>DALS-ED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69114-2020</t>
        </is>
      </c>
      <c r="B4876" s="1" t="n">
        <v>44188</v>
      </c>
      <c r="C4876" s="1" t="n">
        <v>45586</v>
      </c>
      <c r="D4876" t="inlineStr">
        <is>
          <t>VÄSTRA GÖTALANDS LÄN</t>
        </is>
      </c>
      <c r="E4876" t="inlineStr">
        <is>
          <t>FÄRGELANDA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69067-2020</t>
        </is>
      </c>
      <c r="B4877" s="1" t="n">
        <v>44188</v>
      </c>
      <c r="C4877" s="1" t="n">
        <v>45586</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69099-2020</t>
        </is>
      </c>
      <c r="B4878" s="1" t="n">
        <v>44188</v>
      </c>
      <c r="C4878" s="1" t="n">
        <v>45586</v>
      </c>
      <c r="D4878" t="inlineStr">
        <is>
          <t>VÄSTRA GÖTALANDS LÄN</t>
        </is>
      </c>
      <c r="E4878" t="inlineStr">
        <is>
          <t>VARA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69118-2020</t>
        </is>
      </c>
      <c r="B4879" s="1" t="n">
        <v>44188</v>
      </c>
      <c r="C4879" s="1" t="n">
        <v>45586</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69125-2020</t>
        </is>
      </c>
      <c r="B4880" s="1" t="n">
        <v>44188</v>
      </c>
      <c r="C4880" s="1" t="n">
        <v>45586</v>
      </c>
      <c r="D4880" t="inlineStr">
        <is>
          <t>VÄSTRA GÖTALANDS LÄN</t>
        </is>
      </c>
      <c r="E4880" t="inlineStr">
        <is>
          <t>BORÅS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69119-2020</t>
        </is>
      </c>
      <c r="B4881" s="1" t="n">
        <v>44188</v>
      </c>
      <c r="C4881" s="1" t="n">
        <v>45586</v>
      </c>
      <c r="D4881" t="inlineStr">
        <is>
          <t>VÄSTRA GÖTALANDS LÄN</t>
        </is>
      </c>
      <c r="E4881" t="inlineStr">
        <is>
          <t>FÄRGELANDA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69156-2020</t>
        </is>
      </c>
      <c r="B4882" s="1" t="n">
        <v>44188</v>
      </c>
      <c r="C4882" s="1" t="n">
        <v>45586</v>
      </c>
      <c r="D4882" t="inlineStr">
        <is>
          <t>VÄSTRA GÖTALANDS LÄN</t>
        </is>
      </c>
      <c r="E4882" t="inlineStr">
        <is>
          <t>SKÖVDE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69322-2020</t>
        </is>
      </c>
      <c r="B4883" s="1" t="n">
        <v>44192</v>
      </c>
      <c r="C4883" s="1" t="n">
        <v>45586</v>
      </c>
      <c r="D4883" t="inlineStr">
        <is>
          <t>VÄSTRA GÖTALANDS LÄN</t>
        </is>
      </c>
      <c r="E4883" t="inlineStr">
        <is>
          <t>TÖREBODA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69265-2020</t>
        </is>
      </c>
      <c r="B4884" s="1" t="n">
        <v>44193</v>
      </c>
      <c r="C4884" s="1" t="n">
        <v>45586</v>
      </c>
      <c r="D4884" t="inlineStr">
        <is>
          <t>VÄSTRA GÖTALANDS LÄN</t>
        </is>
      </c>
      <c r="E4884" t="inlineStr">
        <is>
          <t>BORÅS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69296-2020</t>
        </is>
      </c>
      <c r="B4885" s="1" t="n">
        <v>44193</v>
      </c>
      <c r="C4885" s="1" t="n">
        <v>45586</v>
      </c>
      <c r="D4885" t="inlineStr">
        <is>
          <t>VÄSTRA GÖTALANDS LÄN</t>
        </is>
      </c>
      <c r="E4885" t="inlineStr">
        <is>
          <t>MARIESTAD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69325-2020</t>
        </is>
      </c>
      <c r="B4886" s="1" t="n">
        <v>44193</v>
      </c>
      <c r="C4886" s="1" t="n">
        <v>45586</v>
      </c>
      <c r="D4886" t="inlineStr">
        <is>
          <t>VÄSTRA GÖTALANDS LÄN</t>
        </is>
      </c>
      <c r="E4886" t="inlineStr">
        <is>
          <t>ALE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69410-2020</t>
        </is>
      </c>
      <c r="B4887" s="1" t="n">
        <v>44193</v>
      </c>
      <c r="C4887" s="1" t="n">
        <v>45586</v>
      </c>
      <c r="D4887" t="inlineStr">
        <is>
          <t>VÄSTRA GÖTALANDS LÄN</t>
        </is>
      </c>
      <c r="E4887" t="inlineStr">
        <is>
          <t>ÅMÅL</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69359-2020</t>
        </is>
      </c>
      <c r="B4888" s="1" t="n">
        <v>44193</v>
      </c>
      <c r="C4888" s="1" t="n">
        <v>45586</v>
      </c>
      <c r="D4888" t="inlineStr">
        <is>
          <t>VÄSTRA GÖTALANDS LÄN</t>
        </is>
      </c>
      <c r="E4888" t="inlineStr">
        <is>
          <t>ALE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69264-2020</t>
        </is>
      </c>
      <c r="B4889" s="1" t="n">
        <v>44193</v>
      </c>
      <c r="C4889" s="1" t="n">
        <v>45586</v>
      </c>
      <c r="D4889" t="inlineStr">
        <is>
          <t>VÄSTRA GÖTALANDS LÄN</t>
        </is>
      </c>
      <c r="E4889" t="inlineStr">
        <is>
          <t>BORÅS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69543-2020</t>
        </is>
      </c>
      <c r="B4890" s="1" t="n">
        <v>44194</v>
      </c>
      <c r="C4890" s="1" t="n">
        <v>45586</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69438-2020</t>
        </is>
      </c>
      <c r="B4891" s="1" t="n">
        <v>44194</v>
      </c>
      <c r="C4891" s="1" t="n">
        <v>45586</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69483-2020</t>
        </is>
      </c>
      <c r="B4892" s="1" t="n">
        <v>44194</v>
      </c>
      <c r="C4892" s="1" t="n">
        <v>45586</v>
      </c>
      <c r="D4892" t="inlineStr">
        <is>
          <t>VÄSTRA GÖTALANDS LÄN</t>
        </is>
      </c>
      <c r="E4892" t="inlineStr">
        <is>
          <t>KARLSBORG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69554-2020</t>
        </is>
      </c>
      <c r="B4893" s="1" t="n">
        <v>44194</v>
      </c>
      <c r="C4893" s="1" t="n">
        <v>45586</v>
      </c>
      <c r="D4893" t="inlineStr">
        <is>
          <t>VÄSTRA GÖTALANDS LÄN</t>
        </is>
      </c>
      <c r="E4893" t="inlineStr">
        <is>
          <t>TROLLHÄTTAN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69604-2020</t>
        </is>
      </c>
      <c r="B4894" s="1" t="n">
        <v>44195</v>
      </c>
      <c r="C4894" s="1" t="n">
        <v>45586</v>
      </c>
      <c r="D4894" t="inlineStr">
        <is>
          <t>VÄSTRA GÖTALANDS LÄN</t>
        </is>
      </c>
      <c r="E4894" t="inlineStr">
        <is>
          <t>LILLA EDET</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69623-2020</t>
        </is>
      </c>
      <c r="B4895" s="1" t="n">
        <v>44195</v>
      </c>
      <c r="C4895" s="1" t="n">
        <v>45586</v>
      </c>
      <c r="D4895" t="inlineStr">
        <is>
          <t>VÄSTRA GÖTALANDS LÄN</t>
        </is>
      </c>
      <c r="E4895" t="inlineStr">
        <is>
          <t>ULRICEHAMN</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69579-2020</t>
        </is>
      </c>
      <c r="B4896" s="1" t="n">
        <v>44195</v>
      </c>
      <c r="C4896" s="1" t="n">
        <v>45586</v>
      </c>
      <c r="D4896" t="inlineStr">
        <is>
          <t>VÄSTRA GÖTALANDS LÄN</t>
        </is>
      </c>
      <c r="E4896" t="inlineStr">
        <is>
          <t>VÄNERSBORG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69625-2020</t>
        </is>
      </c>
      <c r="B4897" s="1" t="n">
        <v>44195</v>
      </c>
      <c r="C4897" s="1" t="n">
        <v>45586</v>
      </c>
      <c r="D4897" t="inlineStr">
        <is>
          <t>VÄSTRA GÖTALANDS LÄN</t>
        </is>
      </c>
      <c r="E4897" t="inlineStr">
        <is>
          <t>ULRICEHAMN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69624-2020</t>
        </is>
      </c>
      <c r="B4898" s="1" t="n">
        <v>44195</v>
      </c>
      <c r="C4898" s="1" t="n">
        <v>45586</v>
      </c>
      <c r="D4898" t="inlineStr">
        <is>
          <t>VÄSTRA GÖTALANDS LÄN</t>
        </is>
      </c>
      <c r="E4898" t="inlineStr">
        <is>
          <t>ULRICEHAMN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69663-2020</t>
        </is>
      </c>
      <c r="B4899" s="1" t="n">
        <v>44195</v>
      </c>
      <c r="C4899" s="1" t="n">
        <v>45586</v>
      </c>
      <c r="D4899" t="inlineStr">
        <is>
          <t>VÄSTRA GÖTALANDS LÄN</t>
        </is>
      </c>
      <c r="E4899" t="inlineStr">
        <is>
          <t>MARK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69576-2020</t>
        </is>
      </c>
      <c r="B4900" s="1" t="n">
        <v>44195</v>
      </c>
      <c r="C4900" s="1" t="n">
        <v>45586</v>
      </c>
      <c r="D4900" t="inlineStr">
        <is>
          <t>VÄSTRA GÖTALANDS LÄN</t>
        </is>
      </c>
      <c r="E4900" t="inlineStr">
        <is>
          <t>LILLA EDET</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30-2021</t>
        </is>
      </c>
      <c r="B4901" s="1" t="n">
        <v>44198</v>
      </c>
      <c r="C4901" s="1" t="n">
        <v>45586</v>
      </c>
      <c r="D4901" t="inlineStr">
        <is>
          <t>VÄSTRA GÖTALANDS LÄN</t>
        </is>
      </c>
      <c r="E4901" t="inlineStr">
        <is>
          <t>KARLSBORG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103-2021</t>
        </is>
      </c>
      <c r="B4902" s="1" t="n">
        <v>44200</v>
      </c>
      <c r="C4902" s="1" t="n">
        <v>45586</v>
      </c>
      <c r="D4902" t="inlineStr">
        <is>
          <t>VÄSTRA GÖTALANDS LÄN</t>
        </is>
      </c>
      <c r="E4902" t="inlineStr">
        <is>
          <t>MUNKEDAL</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97-2021</t>
        </is>
      </c>
      <c r="B4903" s="1" t="n">
        <v>44200</v>
      </c>
      <c r="C4903" s="1" t="n">
        <v>45586</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98-2021</t>
        </is>
      </c>
      <c r="B4904" s="1" t="n">
        <v>44200</v>
      </c>
      <c r="C4904" s="1" t="n">
        <v>45586</v>
      </c>
      <c r="D4904" t="inlineStr">
        <is>
          <t>VÄSTRA GÖTALANDS LÄN</t>
        </is>
      </c>
      <c r="E4904" t="inlineStr">
        <is>
          <t>SVENLJUNGA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143-2021</t>
        </is>
      </c>
      <c r="B4905" s="1" t="n">
        <v>44200</v>
      </c>
      <c r="C4905" s="1" t="n">
        <v>45586</v>
      </c>
      <c r="D4905" t="inlineStr">
        <is>
          <t>VÄSTRA GÖTALANDS LÄN</t>
        </is>
      </c>
      <c r="E4905" t="inlineStr">
        <is>
          <t>HERRLJUNGA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211-2021</t>
        </is>
      </c>
      <c r="B4906" s="1" t="n">
        <v>44200</v>
      </c>
      <c r="C4906" s="1" t="n">
        <v>45586</v>
      </c>
      <c r="D4906" t="inlineStr">
        <is>
          <t>VÄSTRA GÖTALANDS LÄN</t>
        </is>
      </c>
      <c r="E4906" t="inlineStr">
        <is>
          <t>ALINGSÅS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212-2021</t>
        </is>
      </c>
      <c r="B4907" s="1" t="n">
        <v>44200</v>
      </c>
      <c r="C4907" s="1" t="n">
        <v>45586</v>
      </c>
      <c r="D4907" t="inlineStr">
        <is>
          <t>VÄSTRA GÖTALANDS LÄN</t>
        </is>
      </c>
      <c r="E4907" t="inlineStr">
        <is>
          <t>BOLLEBYGD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330-2021</t>
        </is>
      </c>
      <c r="B4908" s="1" t="n">
        <v>44200</v>
      </c>
      <c r="C4908" s="1" t="n">
        <v>45586</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337-2021</t>
        </is>
      </c>
      <c r="B4909" s="1" t="n">
        <v>44201</v>
      </c>
      <c r="C4909" s="1" t="n">
        <v>45586</v>
      </c>
      <c r="D4909" t="inlineStr">
        <is>
          <t>VÄSTRA GÖTALANDS LÄN</t>
        </is>
      </c>
      <c r="E4909" t="inlineStr">
        <is>
          <t>ULRICEHAMN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394-2021</t>
        </is>
      </c>
      <c r="B4910" s="1" t="n">
        <v>44201</v>
      </c>
      <c r="C4910" s="1" t="n">
        <v>45586</v>
      </c>
      <c r="D4910" t="inlineStr">
        <is>
          <t>VÄSTRA GÖTALANDS LÄN</t>
        </is>
      </c>
      <c r="E4910" t="inlineStr">
        <is>
          <t>VARA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415-2021</t>
        </is>
      </c>
      <c r="B4911" s="1" t="n">
        <v>44201</v>
      </c>
      <c r="C4911" s="1" t="n">
        <v>45586</v>
      </c>
      <c r="D4911" t="inlineStr">
        <is>
          <t>VÄSTRA GÖTALANDS LÄN</t>
        </is>
      </c>
      <c r="E4911" t="inlineStr">
        <is>
          <t>TANUM</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360-2021</t>
        </is>
      </c>
      <c r="B4912" s="1" t="n">
        <v>44201</v>
      </c>
      <c r="C4912" s="1" t="n">
        <v>45586</v>
      </c>
      <c r="D4912" t="inlineStr">
        <is>
          <t>VÄSTRA GÖTALANDS LÄN</t>
        </is>
      </c>
      <c r="E4912" t="inlineStr">
        <is>
          <t>VÅRGÅRDA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366-2021</t>
        </is>
      </c>
      <c r="B4913" s="1" t="n">
        <v>44201</v>
      </c>
      <c r="C4913" s="1" t="n">
        <v>45586</v>
      </c>
      <c r="D4913" t="inlineStr">
        <is>
          <t>VÄSTRA GÖTALANDS LÄN</t>
        </is>
      </c>
      <c r="E4913" t="inlineStr">
        <is>
          <t>HERRLJUNGA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359-2021</t>
        </is>
      </c>
      <c r="B4914" s="1" t="n">
        <v>44201</v>
      </c>
      <c r="C4914" s="1" t="n">
        <v>45586</v>
      </c>
      <c r="D4914" t="inlineStr">
        <is>
          <t>VÄSTRA GÖTALANDS LÄN</t>
        </is>
      </c>
      <c r="E4914" t="inlineStr">
        <is>
          <t>VARA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364-2021</t>
        </is>
      </c>
      <c r="B4915" s="1" t="n">
        <v>44201</v>
      </c>
      <c r="C4915" s="1" t="n">
        <v>45586</v>
      </c>
      <c r="D4915" t="inlineStr">
        <is>
          <t>VÄSTRA GÖTALANDS LÄN</t>
        </is>
      </c>
      <c r="E4915" t="inlineStr">
        <is>
          <t>HERRLJUNGA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383-2021</t>
        </is>
      </c>
      <c r="B4916" s="1" t="n">
        <v>44201</v>
      </c>
      <c r="C4916" s="1" t="n">
        <v>45586</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418-2021</t>
        </is>
      </c>
      <c r="B4917" s="1" t="n">
        <v>44201</v>
      </c>
      <c r="C4917" s="1" t="n">
        <v>45586</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537-2021</t>
        </is>
      </c>
      <c r="B4918" s="1" t="n">
        <v>44201</v>
      </c>
      <c r="C4918" s="1" t="n">
        <v>45586</v>
      </c>
      <c r="D4918" t="inlineStr">
        <is>
          <t>VÄSTRA GÖTALANDS LÄN</t>
        </is>
      </c>
      <c r="E4918" t="inlineStr">
        <is>
          <t>SKÖVDE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640-2021</t>
        </is>
      </c>
      <c r="B4919" s="1" t="n">
        <v>44201</v>
      </c>
      <c r="C4919" s="1" t="n">
        <v>45586</v>
      </c>
      <c r="D4919" t="inlineStr">
        <is>
          <t>VÄSTRA GÖTALANDS LÄN</t>
        </is>
      </c>
      <c r="E4919" t="inlineStr">
        <is>
          <t>SKÖVDE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539-2021</t>
        </is>
      </c>
      <c r="B4920" s="1" t="n">
        <v>44201</v>
      </c>
      <c r="C4920" s="1" t="n">
        <v>45586</v>
      </c>
      <c r="D4920" t="inlineStr">
        <is>
          <t>VÄSTRA GÖTALANDS LÄN</t>
        </is>
      </c>
      <c r="E4920" t="inlineStr">
        <is>
          <t>SKARA</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460-2021</t>
        </is>
      </c>
      <c r="B4921" s="1" t="n">
        <v>44202</v>
      </c>
      <c r="C4921" s="1" t="n">
        <v>45586</v>
      </c>
      <c r="D4921" t="inlineStr">
        <is>
          <t>VÄSTRA GÖTALANDS LÄN</t>
        </is>
      </c>
      <c r="E4921" t="inlineStr">
        <is>
          <t>FÄRGELANDA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517-2021</t>
        </is>
      </c>
      <c r="B4922" s="1" t="n">
        <v>44203</v>
      </c>
      <c r="C4922" s="1" t="n">
        <v>45586</v>
      </c>
      <c r="D4922" t="inlineStr">
        <is>
          <t>VÄSTRA GÖTALANDS LÄN</t>
        </is>
      </c>
      <c r="E4922" t="inlineStr">
        <is>
          <t>MARK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567-2021</t>
        </is>
      </c>
      <c r="B4923" s="1" t="n">
        <v>44203</v>
      </c>
      <c r="C4923" s="1" t="n">
        <v>45586</v>
      </c>
      <c r="D4923" t="inlineStr">
        <is>
          <t>VÄSTRA GÖTALANDS LÄN</t>
        </is>
      </c>
      <c r="E4923" t="inlineStr">
        <is>
          <t>TANUM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523-2021</t>
        </is>
      </c>
      <c r="B4924" s="1" t="n">
        <v>44203</v>
      </c>
      <c r="C4924" s="1" t="n">
        <v>45586</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542-2021</t>
        </is>
      </c>
      <c r="B4925" s="1" t="n">
        <v>44203</v>
      </c>
      <c r="C4925" s="1" t="n">
        <v>45586</v>
      </c>
      <c r="D4925" t="inlineStr">
        <is>
          <t>VÄSTRA GÖTALANDS LÄN</t>
        </is>
      </c>
      <c r="E4925" t="inlineStr">
        <is>
          <t>SKÖVDE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572-2021</t>
        </is>
      </c>
      <c r="B4926" s="1" t="n">
        <v>44203</v>
      </c>
      <c r="C4926" s="1" t="n">
        <v>45586</v>
      </c>
      <c r="D4926" t="inlineStr">
        <is>
          <t>VÄSTRA GÖTALANDS LÄN</t>
        </is>
      </c>
      <c r="E4926" t="inlineStr">
        <is>
          <t>ESSUNGA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663-2021</t>
        </is>
      </c>
      <c r="B4927" s="1" t="n">
        <v>44203</v>
      </c>
      <c r="C4927" s="1" t="n">
        <v>45586</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502-2021</t>
        </is>
      </c>
      <c r="B4928" s="1" t="n">
        <v>44203</v>
      </c>
      <c r="C4928" s="1" t="n">
        <v>45586</v>
      </c>
      <c r="D4928" t="inlineStr">
        <is>
          <t>VÄSTRA GÖTALANDS LÄN</t>
        </is>
      </c>
      <c r="E4928" t="inlineStr">
        <is>
          <t>BORÅS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564-2021</t>
        </is>
      </c>
      <c r="B4929" s="1" t="n">
        <v>44203</v>
      </c>
      <c r="C4929" s="1" t="n">
        <v>45586</v>
      </c>
      <c r="D4929" t="inlineStr">
        <is>
          <t>VÄSTRA GÖTALANDS LÄN</t>
        </is>
      </c>
      <c r="E4929" t="inlineStr">
        <is>
          <t>ESSUNGA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797-2021</t>
        </is>
      </c>
      <c r="B4930" s="1" t="n">
        <v>44204</v>
      </c>
      <c r="C4930" s="1" t="n">
        <v>45586</v>
      </c>
      <c r="D4930" t="inlineStr">
        <is>
          <t>VÄSTRA GÖTALANDS LÄN</t>
        </is>
      </c>
      <c r="E4930" t="inlineStr">
        <is>
          <t>UDDEVALLA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856-2021</t>
        </is>
      </c>
      <c r="B4931" s="1" t="n">
        <v>44204</v>
      </c>
      <c r="C4931" s="1" t="n">
        <v>45586</v>
      </c>
      <c r="D4931" t="inlineStr">
        <is>
          <t>VÄSTRA GÖTALANDS LÄN</t>
        </is>
      </c>
      <c r="E4931" t="inlineStr">
        <is>
          <t>BORÅS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940-2021</t>
        </is>
      </c>
      <c r="B4932" s="1" t="n">
        <v>44204</v>
      </c>
      <c r="C4932" s="1" t="n">
        <v>45586</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719-2021</t>
        </is>
      </c>
      <c r="B4933" s="1" t="n">
        <v>44204</v>
      </c>
      <c r="C4933" s="1" t="n">
        <v>45586</v>
      </c>
      <c r="D4933" t="inlineStr">
        <is>
          <t>VÄSTRA GÖTALANDS LÄN</t>
        </is>
      </c>
      <c r="E4933" t="inlineStr">
        <is>
          <t>GÖTENE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732-2021</t>
        </is>
      </c>
      <c r="B4934" s="1" t="n">
        <v>44204</v>
      </c>
      <c r="C4934" s="1" t="n">
        <v>45586</v>
      </c>
      <c r="D4934" t="inlineStr">
        <is>
          <t>VÄSTRA GÖTALANDS LÄN</t>
        </is>
      </c>
      <c r="E4934" t="inlineStr">
        <is>
          <t>VÅRGÅRDA</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1009-2021</t>
        </is>
      </c>
      <c r="B4935" s="1" t="n">
        <v>44204</v>
      </c>
      <c r="C4935" s="1" t="n">
        <v>45586</v>
      </c>
      <c r="D4935" t="inlineStr">
        <is>
          <t>VÄSTRA GÖTALANDS LÄN</t>
        </is>
      </c>
      <c r="E4935" t="inlineStr">
        <is>
          <t>MARK</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734-2021</t>
        </is>
      </c>
      <c r="B4936" s="1" t="n">
        <v>44204</v>
      </c>
      <c r="C4936" s="1" t="n">
        <v>45586</v>
      </c>
      <c r="D4936" t="inlineStr">
        <is>
          <t>VÄSTRA GÖTALANDS LÄN</t>
        </is>
      </c>
      <c r="E4936" t="inlineStr">
        <is>
          <t>HERRLJUNGA</t>
        </is>
      </c>
      <c r="F4936" t="inlineStr">
        <is>
          <t>Övriga statliga verk och myndigheter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796-2021</t>
        </is>
      </c>
      <c r="B4937" s="1" t="n">
        <v>44204</v>
      </c>
      <c r="C4937" s="1" t="n">
        <v>45586</v>
      </c>
      <c r="D4937" t="inlineStr">
        <is>
          <t>VÄSTRA GÖTALANDS LÄN</t>
        </is>
      </c>
      <c r="E4937" t="inlineStr">
        <is>
          <t>UDDEVALLA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810-2021</t>
        </is>
      </c>
      <c r="B4938" s="1" t="n">
        <v>44204</v>
      </c>
      <c r="C4938" s="1" t="n">
        <v>45586</v>
      </c>
      <c r="D4938" t="inlineStr">
        <is>
          <t>VÄSTRA GÖTALANDS LÄN</t>
        </is>
      </c>
      <c r="E4938" t="inlineStr">
        <is>
          <t>BOLLEBYGD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895-2021</t>
        </is>
      </c>
      <c r="B4939" s="1" t="n">
        <v>44206</v>
      </c>
      <c r="C4939" s="1" t="n">
        <v>45586</v>
      </c>
      <c r="D4939" t="inlineStr">
        <is>
          <t>VÄSTRA GÖTALANDS LÄN</t>
        </is>
      </c>
      <c r="E4939" t="inlineStr">
        <is>
          <t>MARK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896-2021</t>
        </is>
      </c>
      <c r="B4940" s="1" t="n">
        <v>44206</v>
      </c>
      <c r="C4940" s="1" t="n">
        <v>45586</v>
      </c>
      <c r="D4940" t="inlineStr">
        <is>
          <t>VÄSTRA GÖTALANDS LÄN</t>
        </is>
      </c>
      <c r="E4940" t="inlineStr">
        <is>
          <t>MARK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987-2021</t>
        </is>
      </c>
      <c r="B4941" s="1" t="n">
        <v>44206</v>
      </c>
      <c r="C4941" s="1" t="n">
        <v>45586</v>
      </c>
      <c r="D4941" t="inlineStr">
        <is>
          <t>VÄSTRA GÖTALANDS LÄN</t>
        </is>
      </c>
      <c r="E4941" t="inlineStr">
        <is>
          <t>FALKÖPING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992-2021</t>
        </is>
      </c>
      <c r="B4942" s="1" t="n">
        <v>44206</v>
      </c>
      <c r="C4942" s="1" t="n">
        <v>45586</v>
      </c>
      <c r="D4942" t="inlineStr">
        <is>
          <t>VÄSTRA GÖTALANDS LÄN</t>
        </is>
      </c>
      <c r="E4942" t="inlineStr">
        <is>
          <t>ULRICEHAMN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889-2021</t>
        </is>
      </c>
      <c r="B4943" s="1" t="n">
        <v>44206</v>
      </c>
      <c r="C4943" s="1" t="n">
        <v>45586</v>
      </c>
      <c r="D4943" t="inlineStr">
        <is>
          <t>VÄSTRA GÖTALANDS LÄN</t>
        </is>
      </c>
      <c r="E4943" t="inlineStr">
        <is>
          <t>MUNKEDAL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990-2021</t>
        </is>
      </c>
      <c r="B4944" s="1" t="n">
        <v>44206</v>
      </c>
      <c r="C4944" s="1" t="n">
        <v>45586</v>
      </c>
      <c r="D4944" t="inlineStr">
        <is>
          <t>VÄSTRA GÖTALANDS LÄN</t>
        </is>
      </c>
      <c r="E4944" t="inlineStr">
        <is>
          <t>ULRICEHAMN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921-2021</t>
        </is>
      </c>
      <c r="B4945" s="1" t="n">
        <v>44207</v>
      </c>
      <c r="C4945" s="1" t="n">
        <v>45586</v>
      </c>
      <c r="D4945" t="inlineStr">
        <is>
          <t>VÄSTRA GÖTALANDS LÄN</t>
        </is>
      </c>
      <c r="E4945" t="inlineStr">
        <is>
          <t>BORÅS</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1045-2021</t>
        </is>
      </c>
      <c r="B4946" s="1" t="n">
        <v>44207</v>
      </c>
      <c r="C4946" s="1" t="n">
        <v>45586</v>
      </c>
      <c r="D4946" t="inlineStr">
        <is>
          <t>VÄSTRA GÖTALANDS LÄN</t>
        </is>
      </c>
      <c r="E4946" t="inlineStr">
        <is>
          <t>BENGTSFORS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956-2021</t>
        </is>
      </c>
      <c r="B4947" s="1" t="n">
        <v>44207</v>
      </c>
      <c r="C4947" s="1" t="n">
        <v>45586</v>
      </c>
      <c r="D4947" t="inlineStr">
        <is>
          <t>VÄSTRA GÖTALANDS LÄN</t>
        </is>
      </c>
      <c r="E4947" t="inlineStr">
        <is>
          <t>TÖREBODA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1031-2021</t>
        </is>
      </c>
      <c r="B4948" s="1" t="n">
        <v>44207</v>
      </c>
      <c r="C4948" s="1" t="n">
        <v>45586</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1039-2021</t>
        </is>
      </c>
      <c r="B4949" s="1" t="n">
        <v>44207</v>
      </c>
      <c r="C4949" s="1" t="n">
        <v>45586</v>
      </c>
      <c r="D4949" t="inlineStr">
        <is>
          <t>VÄSTRA GÖTALANDS LÄN</t>
        </is>
      </c>
      <c r="E4949" t="inlineStr">
        <is>
          <t>BENGTSFORS</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1074-2021</t>
        </is>
      </c>
      <c r="B4950" s="1" t="n">
        <v>44207</v>
      </c>
      <c r="C4950" s="1" t="n">
        <v>45586</v>
      </c>
      <c r="D4950" t="inlineStr">
        <is>
          <t>VÄSTRA GÖTALANDS LÄN</t>
        </is>
      </c>
      <c r="E4950" t="inlineStr">
        <is>
          <t>GULLSPÅNG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1251-2021</t>
        </is>
      </c>
      <c r="B4951" s="1" t="n">
        <v>44207</v>
      </c>
      <c r="C4951" s="1" t="n">
        <v>45586</v>
      </c>
      <c r="D4951" t="inlineStr">
        <is>
          <t>VÄSTRA GÖTALANDS LÄN</t>
        </is>
      </c>
      <c r="E4951" t="inlineStr">
        <is>
          <t>TANUM</t>
        </is>
      </c>
      <c r="F4951" t="inlineStr">
        <is>
          <t>Kyrkan</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1262-2021</t>
        </is>
      </c>
      <c r="B4952" s="1" t="n">
        <v>44208</v>
      </c>
      <c r="C4952" s="1" t="n">
        <v>45586</v>
      </c>
      <c r="D4952" t="inlineStr">
        <is>
          <t>VÄSTRA GÖTALANDS LÄN</t>
        </is>
      </c>
      <c r="E4952" t="inlineStr">
        <is>
          <t>LILLA EDET</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1326-2021</t>
        </is>
      </c>
      <c r="B4953" s="1" t="n">
        <v>44208</v>
      </c>
      <c r="C4953" s="1" t="n">
        <v>45586</v>
      </c>
      <c r="D4953" t="inlineStr">
        <is>
          <t>VÄSTRA GÖTALANDS LÄN</t>
        </is>
      </c>
      <c r="E4953" t="inlineStr">
        <is>
          <t>MARK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1352-2021</t>
        </is>
      </c>
      <c r="B4954" s="1" t="n">
        <v>44208</v>
      </c>
      <c r="C4954" s="1" t="n">
        <v>45586</v>
      </c>
      <c r="D4954" t="inlineStr">
        <is>
          <t>VÄSTRA GÖTALANDS LÄN</t>
        </is>
      </c>
      <c r="E4954" t="inlineStr">
        <is>
          <t>STRÖMSTAD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1401-2021</t>
        </is>
      </c>
      <c r="B4955" s="1" t="n">
        <v>44208</v>
      </c>
      <c r="C4955" s="1" t="n">
        <v>45586</v>
      </c>
      <c r="D4955" t="inlineStr">
        <is>
          <t>VÄSTRA GÖTALANDS LÄN</t>
        </is>
      </c>
      <c r="E4955" t="inlineStr">
        <is>
          <t>BORÅS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1399-2021</t>
        </is>
      </c>
      <c r="B4956" s="1" t="n">
        <v>44208</v>
      </c>
      <c r="C4956" s="1" t="n">
        <v>45586</v>
      </c>
      <c r="D4956" t="inlineStr">
        <is>
          <t>VÄSTRA GÖTALANDS LÄN</t>
        </is>
      </c>
      <c r="E4956" t="inlineStr">
        <is>
          <t>VARA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1370-2021</t>
        </is>
      </c>
      <c r="B4957" s="1" t="n">
        <v>44208</v>
      </c>
      <c r="C4957" s="1" t="n">
        <v>45586</v>
      </c>
      <c r="D4957" t="inlineStr">
        <is>
          <t>VÄSTRA GÖTALANDS LÄN</t>
        </is>
      </c>
      <c r="E4957" t="inlineStr">
        <is>
          <t>STRÖMSTAD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1446-2021</t>
        </is>
      </c>
      <c r="B4958" s="1" t="n">
        <v>44208</v>
      </c>
      <c r="C4958" s="1" t="n">
        <v>45586</v>
      </c>
      <c r="D4958" t="inlineStr">
        <is>
          <t>VÄSTRA GÖTALANDS LÄN</t>
        </is>
      </c>
      <c r="E4958" t="inlineStr">
        <is>
          <t>HERRLJUNGA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1510-2021</t>
        </is>
      </c>
      <c r="B4959" s="1" t="n">
        <v>44209</v>
      </c>
      <c r="C4959" s="1" t="n">
        <v>45586</v>
      </c>
      <c r="D4959" t="inlineStr">
        <is>
          <t>VÄSTRA GÖTALANDS LÄN</t>
        </is>
      </c>
      <c r="E4959" t="inlineStr">
        <is>
          <t>SVENLJUNGA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1574-2021</t>
        </is>
      </c>
      <c r="B4960" s="1" t="n">
        <v>44209</v>
      </c>
      <c r="C4960" s="1" t="n">
        <v>45586</v>
      </c>
      <c r="D4960" t="inlineStr">
        <is>
          <t>VÄSTRA GÖTALANDS LÄN</t>
        </is>
      </c>
      <c r="E4960" t="inlineStr">
        <is>
          <t>LILLA EDET</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1490-2021</t>
        </is>
      </c>
      <c r="B4961" s="1" t="n">
        <v>44209</v>
      </c>
      <c r="C4961" s="1" t="n">
        <v>45586</v>
      </c>
      <c r="D4961" t="inlineStr">
        <is>
          <t>VÄSTRA GÖTALANDS LÄN</t>
        </is>
      </c>
      <c r="E4961" t="inlineStr">
        <is>
          <t>TRANEMO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1498-2021</t>
        </is>
      </c>
      <c r="B4962" s="1" t="n">
        <v>44209</v>
      </c>
      <c r="C4962" s="1" t="n">
        <v>45586</v>
      </c>
      <c r="D4962" t="inlineStr">
        <is>
          <t>VÄSTRA GÖTALANDS LÄN</t>
        </is>
      </c>
      <c r="E4962" t="inlineStr">
        <is>
          <t>BENGTSFORS</t>
        </is>
      </c>
      <c r="G4962" t="n">
        <v>21.6</v>
      </c>
      <c r="H4962" t="n">
        <v>0</v>
      </c>
      <c r="I4962" t="n">
        <v>0</v>
      </c>
      <c r="J4962" t="n">
        <v>0</v>
      </c>
      <c r="K4962" t="n">
        <v>0</v>
      </c>
      <c r="L4962" t="n">
        <v>0</v>
      </c>
      <c r="M4962" t="n">
        <v>0</v>
      </c>
      <c r="N4962" t="n">
        <v>0</v>
      </c>
      <c r="O4962" t="n">
        <v>0</v>
      </c>
      <c r="P4962" t="n">
        <v>0</v>
      </c>
      <c r="Q4962" t="n">
        <v>0</v>
      </c>
      <c r="R4962" s="2" t="inlineStr"/>
    </row>
    <row r="4963" ht="15" customHeight="1">
      <c r="A4963" t="inlineStr">
        <is>
          <t>A 1519-2021</t>
        </is>
      </c>
      <c r="B4963" s="1" t="n">
        <v>44209</v>
      </c>
      <c r="C4963" s="1" t="n">
        <v>45586</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1670-2021</t>
        </is>
      </c>
      <c r="B4964" s="1" t="n">
        <v>44209</v>
      </c>
      <c r="C4964" s="1" t="n">
        <v>45586</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1686-2021</t>
        </is>
      </c>
      <c r="B4965" s="1" t="n">
        <v>44209</v>
      </c>
      <c r="C4965" s="1" t="n">
        <v>45586</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1716-2021</t>
        </is>
      </c>
      <c r="B4966" s="1" t="n">
        <v>44209</v>
      </c>
      <c r="C4966" s="1" t="n">
        <v>45586</v>
      </c>
      <c r="D4966" t="inlineStr">
        <is>
          <t>VÄSTRA GÖTALANDS LÄN</t>
        </is>
      </c>
      <c r="E4966" t="inlineStr">
        <is>
          <t>LIDKÖPING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1731-2021</t>
        </is>
      </c>
      <c r="B4967" s="1" t="n">
        <v>44209</v>
      </c>
      <c r="C4967" s="1" t="n">
        <v>45586</v>
      </c>
      <c r="D4967" t="inlineStr">
        <is>
          <t>VÄSTRA GÖTALANDS LÄN</t>
        </is>
      </c>
      <c r="E4967" t="inlineStr">
        <is>
          <t>TIDAHOLM</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1777-2021</t>
        </is>
      </c>
      <c r="B4968" s="1" t="n">
        <v>44209</v>
      </c>
      <c r="C4968" s="1" t="n">
        <v>45586</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1849-2021</t>
        </is>
      </c>
      <c r="B4969" s="1" t="n">
        <v>44210</v>
      </c>
      <c r="C4969" s="1" t="n">
        <v>45586</v>
      </c>
      <c r="D4969" t="inlineStr">
        <is>
          <t>VÄSTRA GÖTALANDS LÄN</t>
        </is>
      </c>
      <c r="E4969" t="inlineStr">
        <is>
          <t>TJÖRN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1898-2021</t>
        </is>
      </c>
      <c r="B4970" s="1" t="n">
        <v>44210</v>
      </c>
      <c r="C4970" s="1" t="n">
        <v>45586</v>
      </c>
      <c r="D4970" t="inlineStr">
        <is>
          <t>VÄSTRA GÖTALANDS LÄN</t>
        </is>
      </c>
      <c r="E4970" t="inlineStr">
        <is>
          <t>STENUNGSUND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1905-2021</t>
        </is>
      </c>
      <c r="B4971" s="1" t="n">
        <v>44210</v>
      </c>
      <c r="C4971" s="1" t="n">
        <v>45586</v>
      </c>
      <c r="D4971" t="inlineStr">
        <is>
          <t>VÄSTRA GÖTALANDS LÄN</t>
        </is>
      </c>
      <c r="E4971" t="inlineStr">
        <is>
          <t>SVENLJUNGA</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1938-2021</t>
        </is>
      </c>
      <c r="B4972" s="1" t="n">
        <v>44210</v>
      </c>
      <c r="C4972" s="1" t="n">
        <v>45586</v>
      </c>
      <c r="D4972" t="inlineStr">
        <is>
          <t>VÄSTRA GÖTALANDS LÄN</t>
        </is>
      </c>
      <c r="E4972" t="inlineStr">
        <is>
          <t>LIDKÖPING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1795-2021</t>
        </is>
      </c>
      <c r="B4973" s="1" t="n">
        <v>44210</v>
      </c>
      <c r="C4973" s="1" t="n">
        <v>45586</v>
      </c>
      <c r="D4973" t="inlineStr">
        <is>
          <t>VÄSTRA GÖTALANDS LÄN</t>
        </is>
      </c>
      <c r="E4973" t="inlineStr">
        <is>
          <t>MARIESTAD</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1907-2021</t>
        </is>
      </c>
      <c r="B4974" s="1" t="n">
        <v>44210</v>
      </c>
      <c r="C4974" s="1" t="n">
        <v>45586</v>
      </c>
      <c r="D4974" t="inlineStr">
        <is>
          <t>VÄSTRA GÖTALANDS LÄN</t>
        </is>
      </c>
      <c r="E4974" t="inlineStr">
        <is>
          <t>SVENLJUNGA</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1917-2021</t>
        </is>
      </c>
      <c r="B4975" s="1" t="n">
        <v>44210</v>
      </c>
      <c r="C4975" s="1" t="n">
        <v>45586</v>
      </c>
      <c r="D4975" t="inlineStr">
        <is>
          <t>VÄSTRA GÖTALANDS LÄN</t>
        </is>
      </c>
      <c r="E4975" t="inlineStr">
        <is>
          <t>TRANEMO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1903-2021</t>
        </is>
      </c>
      <c r="B4976" s="1" t="n">
        <v>44210</v>
      </c>
      <c r="C4976" s="1" t="n">
        <v>45586</v>
      </c>
      <c r="D4976" t="inlineStr">
        <is>
          <t>VÄSTRA GÖTALANDS LÄN</t>
        </is>
      </c>
      <c r="E4976" t="inlineStr">
        <is>
          <t>SVENLJUNGA</t>
        </is>
      </c>
      <c r="F4976" t="inlineStr">
        <is>
          <t>Kyrkan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1931-2021</t>
        </is>
      </c>
      <c r="B4977" s="1" t="n">
        <v>44210</v>
      </c>
      <c r="C4977" s="1" t="n">
        <v>45586</v>
      </c>
      <c r="D4977" t="inlineStr">
        <is>
          <t>VÄSTRA GÖTALANDS LÄN</t>
        </is>
      </c>
      <c r="E4977" t="inlineStr">
        <is>
          <t>BORÅS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2003-2021</t>
        </is>
      </c>
      <c r="B4978" s="1" t="n">
        <v>44210</v>
      </c>
      <c r="C4978" s="1" t="n">
        <v>45586</v>
      </c>
      <c r="D4978" t="inlineStr">
        <is>
          <t>VÄSTRA GÖTALANDS LÄN</t>
        </is>
      </c>
      <c r="E4978" t="inlineStr">
        <is>
          <t>ALE</t>
        </is>
      </c>
      <c r="F4978" t="inlineStr">
        <is>
          <t>Kommuner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2124-2021</t>
        </is>
      </c>
      <c r="B4979" s="1" t="n">
        <v>44210</v>
      </c>
      <c r="C4979" s="1" t="n">
        <v>45586</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2165-2021</t>
        </is>
      </c>
      <c r="B4980" s="1" t="n">
        <v>44210</v>
      </c>
      <c r="C4980" s="1" t="n">
        <v>45586</v>
      </c>
      <c r="D4980" t="inlineStr">
        <is>
          <t>VÄSTRA GÖTALANDS LÄN</t>
        </is>
      </c>
      <c r="E4980" t="inlineStr">
        <is>
          <t>UDDEVALLA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2041-2021</t>
        </is>
      </c>
      <c r="B4981" s="1" t="n">
        <v>44211</v>
      </c>
      <c r="C4981" s="1" t="n">
        <v>45586</v>
      </c>
      <c r="D4981" t="inlineStr">
        <is>
          <t>VÄSTRA GÖTALANDS LÄN</t>
        </is>
      </c>
      <c r="E4981" t="inlineStr">
        <is>
          <t>VÅRGÅRDA</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2115-2021</t>
        </is>
      </c>
      <c r="B4982" s="1" t="n">
        <v>44211</v>
      </c>
      <c r="C4982" s="1" t="n">
        <v>45586</v>
      </c>
      <c r="D4982" t="inlineStr">
        <is>
          <t>VÄSTRA GÖTALANDS LÄN</t>
        </is>
      </c>
      <c r="E4982" t="inlineStr">
        <is>
          <t>MELLERUD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2370-2021</t>
        </is>
      </c>
      <c r="B4983" s="1" t="n">
        <v>44211</v>
      </c>
      <c r="C4983" s="1" t="n">
        <v>45586</v>
      </c>
      <c r="D4983" t="inlineStr">
        <is>
          <t>VÄSTRA GÖTALANDS LÄN</t>
        </is>
      </c>
      <c r="E4983" t="inlineStr">
        <is>
          <t>UDDEVALLA</t>
        </is>
      </c>
      <c r="F4983" t="inlineStr">
        <is>
          <t>Kyrkan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2190-2021</t>
        </is>
      </c>
      <c r="B4984" s="1" t="n">
        <v>44211</v>
      </c>
      <c r="C4984" s="1" t="n">
        <v>45586</v>
      </c>
      <c r="D4984" t="inlineStr">
        <is>
          <t>VÄSTRA GÖTALANDS LÄN</t>
        </is>
      </c>
      <c r="E4984" t="inlineStr">
        <is>
          <t>MARK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2400-2021</t>
        </is>
      </c>
      <c r="B4985" s="1" t="n">
        <v>44211</v>
      </c>
      <c r="C4985" s="1" t="n">
        <v>45586</v>
      </c>
      <c r="D4985" t="inlineStr">
        <is>
          <t>VÄSTRA GÖTALANDS LÄN</t>
        </is>
      </c>
      <c r="E4985" t="inlineStr">
        <is>
          <t>ALINGSÅS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2393-2021</t>
        </is>
      </c>
      <c r="B4986" s="1" t="n">
        <v>44211</v>
      </c>
      <c r="C4986" s="1" t="n">
        <v>45586</v>
      </c>
      <c r="D4986" t="inlineStr">
        <is>
          <t>VÄSTRA GÖTALANDS LÄN</t>
        </is>
      </c>
      <c r="E4986" t="inlineStr">
        <is>
          <t>VÅRGÅRDA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2366-2021</t>
        </is>
      </c>
      <c r="B4987" s="1" t="n">
        <v>44214</v>
      </c>
      <c r="C4987" s="1" t="n">
        <v>45586</v>
      </c>
      <c r="D4987" t="inlineStr">
        <is>
          <t>VÄSTRA GÖTALANDS LÄN</t>
        </is>
      </c>
      <c r="E4987" t="inlineStr">
        <is>
          <t>TRANEMO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2455-2021</t>
        </is>
      </c>
      <c r="B4988" s="1" t="n">
        <v>44214</v>
      </c>
      <c r="C4988" s="1" t="n">
        <v>45586</v>
      </c>
      <c r="D4988" t="inlineStr">
        <is>
          <t>VÄSTRA GÖTALANDS LÄN</t>
        </is>
      </c>
      <c r="E4988" t="inlineStr">
        <is>
          <t>ALINGSÅS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2483-2021</t>
        </is>
      </c>
      <c r="B4989" s="1" t="n">
        <v>44214</v>
      </c>
      <c r="C4989" s="1" t="n">
        <v>45586</v>
      </c>
      <c r="D4989" t="inlineStr">
        <is>
          <t>VÄSTRA GÖTALANDS LÄN</t>
        </is>
      </c>
      <c r="E4989" t="inlineStr">
        <is>
          <t>MELLERUD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2337-2021</t>
        </is>
      </c>
      <c r="B4990" s="1" t="n">
        <v>44214</v>
      </c>
      <c r="C4990" s="1" t="n">
        <v>45586</v>
      </c>
      <c r="D4990" t="inlineStr">
        <is>
          <t>VÄSTRA GÖTALANDS LÄN</t>
        </is>
      </c>
      <c r="E4990" t="inlineStr">
        <is>
          <t>GÖTENE</t>
        </is>
      </c>
      <c r="G4990" t="n">
        <v>32.5</v>
      </c>
      <c r="H4990" t="n">
        <v>0</v>
      </c>
      <c r="I4990" t="n">
        <v>0</v>
      </c>
      <c r="J4990" t="n">
        <v>0</v>
      </c>
      <c r="K4990" t="n">
        <v>0</v>
      </c>
      <c r="L4990" t="n">
        <v>0</v>
      </c>
      <c r="M4990" t="n">
        <v>0</v>
      </c>
      <c r="N4990" t="n">
        <v>0</v>
      </c>
      <c r="O4990" t="n">
        <v>0</v>
      </c>
      <c r="P4990" t="n">
        <v>0</v>
      </c>
      <c r="Q4990" t="n">
        <v>0</v>
      </c>
      <c r="R4990" s="2" t="inlineStr"/>
    </row>
    <row r="4991" ht="15" customHeight="1">
      <c r="A4991" t="inlineStr">
        <is>
          <t>A 2342-2021</t>
        </is>
      </c>
      <c r="B4991" s="1" t="n">
        <v>44214</v>
      </c>
      <c r="C4991" s="1" t="n">
        <v>45586</v>
      </c>
      <c r="D4991" t="inlineStr">
        <is>
          <t>VÄSTRA GÖTALANDS LÄN</t>
        </is>
      </c>
      <c r="E4991" t="inlineStr">
        <is>
          <t>GÖTENE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2463-2021</t>
        </is>
      </c>
      <c r="B4992" s="1" t="n">
        <v>44214</v>
      </c>
      <c r="C4992" s="1" t="n">
        <v>45586</v>
      </c>
      <c r="D4992" t="inlineStr">
        <is>
          <t>VÄSTRA GÖTALANDS LÄN</t>
        </is>
      </c>
      <c r="E4992" t="inlineStr">
        <is>
          <t>VÄNERSBORG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2478-2021</t>
        </is>
      </c>
      <c r="B4993" s="1" t="n">
        <v>44214</v>
      </c>
      <c r="C4993" s="1" t="n">
        <v>45586</v>
      </c>
      <c r="D4993" t="inlineStr">
        <is>
          <t>VÄSTRA GÖTALANDS LÄN</t>
        </is>
      </c>
      <c r="E4993" t="inlineStr">
        <is>
          <t>VÅRGÅRDA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2982-2021</t>
        </is>
      </c>
      <c r="B4994" s="1" t="n">
        <v>44214</v>
      </c>
      <c r="C4994" s="1" t="n">
        <v>45586</v>
      </c>
      <c r="D4994" t="inlineStr">
        <is>
          <t>VÄSTRA GÖTALANDS LÄN</t>
        </is>
      </c>
      <c r="E4994" t="inlineStr">
        <is>
          <t>TROLLHÄTTAN</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2979-2021</t>
        </is>
      </c>
      <c r="B4995" s="1" t="n">
        <v>44214</v>
      </c>
      <c r="C4995" s="1" t="n">
        <v>45586</v>
      </c>
      <c r="D4995" t="inlineStr">
        <is>
          <t>VÄSTRA GÖTALANDS LÄN</t>
        </is>
      </c>
      <c r="E4995" t="inlineStr">
        <is>
          <t>TROLLHÄTTAN</t>
        </is>
      </c>
      <c r="F4995" t="inlineStr">
        <is>
          <t>Kyrkan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2636-2021</t>
        </is>
      </c>
      <c r="B4996" s="1" t="n">
        <v>44215</v>
      </c>
      <c r="C4996" s="1" t="n">
        <v>45586</v>
      </c>
      <c r="D4996" t="inlineStr">
        <is>
          <t>VÄSTRA GÖTALANDS LÄN</t>
        </is>
      </c>
      <c r="E4996" t="inlineStr">
        <is>
          <t>VÄNERSBORG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2799-2021</t>
        </is>
      </c>
      <c r="B4997" s="1" t="n">
        <v>44215</v>
      </c>
      <c r="C4997" s="1" t="n">
        <v>45586</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2671-2021</t>
        </is>
      </c>
      <c r="B4998" s="1" t="n">
        <v>44215</v>
      </c>
      <c r="C4998" s="1" t="n">
        <v>45586</v>
      </c>
      <c r="D4998" t="inlineStr">
        <is>
          <t>VÄSTRA GÖTALANDS LÄN</t>
        </is>
      </c>
      <c r="E4998" t="inlineStr">
        <is>
          <t>FALKÖPING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2718-2021</t>
        </is>
      </c>
      <c r="B4999" s="1" t="n">
        <v>44215</v>
      </c>
      <c r="C4999" s="1" t="n">
        <v>45586</v>
      </c>
      <c r="D4999" t="inlineStr">
        <is>
          <t>VÄSTRA GÖTALANDS LÄN</t>
        </is>
      </c>
      <c r="E4999" t="inlineStr">
        <is>
          <t>BORÅS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2764-2021</t>
        </is>
      </c>
      <c r="B5000" s="1" t="n">
        <v>44215</v>
      </c>
      <c r="C5000" s="1" t="n">
        <v>45586</v>
      </c>
      <c r="D5000" t="inlineStr">
        <is>
          <t>VÄSTRA GÖTALANDS LÄN</t>
        </is>
      </c>
      <c r="E5000" t="inlineStr">
        <is>
          <t>FÄRGELANDA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2646-2021</t>
        </is>
      </c>
      <c r="B5001" s="1" t="n">
        <v>44215</v>
      </c>
      <c r="C5001" s="1" t="n">
        <v>45586</v>
      </c>
      <c r="D5001" t="inlineStr">
        <is>
          <t>VÄSTRA GÖTALANDS LÄN</t>
        </is>
      </c>
      <c r="E5001" t="inlineStr">
        <is>
          <t>FALKÖPING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2733-2021</t>
        </is>
      </c>
      <c r="B5002" s="1" t="n">
        <v>44215</v>
      </c>
      <c r="C5002" s="1" t="n">
        <v>45586</v>
      </c>
      <c r="D5002" t="inlineStr">
        <is>
          <t>VÄSTRA GÖTALANDS LÄN</t>
        </is>
      </c>
      <c r="E5002" t="inlineStr">
        <is>
          <t>ULRICEHAMN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2779-2021</t>
        </is>
      </c>
      <c r="B5003" s="1" t="n">
        <v>44215</v>
      </c>
      <c r="C5003" s="1" t="n">
        <v>45586</v>
      </c>
      <c r="D5003" t="inlineStr">
        <is>
          <t>VÄSTRA GÖTALANDS LÄN</t>
        </is>
      </c>
      <c r="E5003" t="inlineStr">
        <is>
          <t>HJO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2637-2021</t>
        </is>
      </c>
      <c r="B5004" s="1" t="n">
        <v>44215</v>
      </c>
      <c r="C5004" s="1" t="n">
        <v>45586</v>
      </c>
      <c r="D5004" t="inlineStr">
        <is>
          <t>VÄSTRA GÖTALANDS LÄN</t>
        </is>
      </c>
      <c r="E5004" t="inlineStr">
        <is>
          <t>VÄNERSBORG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2669-2021</t>
        </is>
      </c>
      <c r="B5005" s="1" t="n">
        <v>44215</v>
      </c>
      <c r="C5005" s="1" t="n">
        <v>45586</v>
      </c>
      <c r="D5005" t="inlineStr">
        <is>
          <t>VÄSTRA GÖTALANDS LÄN</t>
        </is>
      </c>
      <c r="E5005" t="inlineStr">
        <is>
          <t>FALKÖPING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2687-2021</t>
        </is>
      </c>
      <c r="B5006" s="1" t="n">
        <v>44215</v>
      </c>
      <c r="C5006" s="1" t="n">
        <v>45586</v>
      </c>
      <c r="D5006" t="inlineStr">
        <is>
          <t>VÄSTRA GÖTALANDS LÄN</t>
        </is>
      </c>
      <c r="E5006" t="inlineStr">
        <is>
          <t>VÅRGÅRDA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2723-2021</t>
        </is>
      </c>
      <c r="B5007" s="1" t="n">
        <v>44215</v>
      </c>
      <c r="C5007" s="1" t="n">
        <v>45586</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2750-2021</t>
        </is>
      </c>
      <c r="B5008" s="1" t="n">
        <v>44215</v>
      </c>
      <c r="C5008" s="1" t="n">
        <v>45586</v>
      </c>
      <c r="D5008" t="inlineStr">
        <is>
          <t>VÄSTRA GÖTALANDS LÄN</t>
        </is>
      </c>
      <c r="E5008" t="inlineStr">
        <is>
          <t>FÄRGELANDA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2817-2021</t>
        </is>
      </c>
      <c r="B5009" s="1" t="n">
        <v>44215</v>
      </c>
      <c r="C5009" s="1" t="n">
        <v>45586</v>
      </c>
      <c r="D5009" t="inlineStr">
        <is>
          <t>VÄSTRA GÖTALANDS LÄN</t>
        </is>
      </c>
      <c r="E5009" t="inlineStr">
        <is>
          <t>SKÖVDE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2959-2021</t>
        </is>
      </c>
      <c r="B5010" s="1" t="n">
        <v>44216</v>
      </c>
      <c r="C5010" s="1" t="n">
        <v>45586</v>
      </c>
      <c r="D5010" t="inlineStr">
        <is>
          <t>VÄSTRA GÖTALANDS LÄN</t>
        </is>
      </c>
      <c r="E5010" t="inlineStr">
        <is>
          <t>TANUM</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2981-2021</t>
        </is>
      </c>
      <c r="B5011" s="1" t="n">
        <v>44216</v>
      </c>
      <c r="C5011" s="1" t="n">
        <v>45586</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2904-2021</t>
        </is>
      </c>
      <c r="B5012" s="1" t="n">
        <v>44216</v>
      </c>
      <c r="C5012" s="1" t="n">
        <v>45586</v>
      </c>
      <c r="D5012" t="inlineStr">
        <is>
          <t>VÄSTRA GÖTALANDS LÄN</t>
        </is>
      </c>
      <c r="E5012" t="inlineStr">
        <is>
          <t>VARA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2926-2021</t>
        </is>
      </c>
      <c r="B5013" s="1" t="n">
        <v>44216</v>
      </c>
      <c r="C5013" s="1" t="n">
        <v>45586</v>
      </c>
      <c r="D5013" t="inlineStr">
        <is>
          <t>VÄSTRA GÖTALANDS LÄN</t>
        </is>
      </c>
      <c r="E5013" t="inlineStr">
        <is>
          <t>MUNKEDAL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2966-2021</t>
        </is>
      </c>
      <c r="B5014" s="1" t="n">
        <v>44216</v>
      </c>
      <c r="C5014" s="1" t="n">
        <v>45586</v>
      </c>
      <c r="D5014" t="inlineStr">
        <is>
          <t>VÄSTRA GÖTALANDS LÄN</t>
        </is>
      </c>
      <c r="E5014" t="inlineStr">
        <is>
          <t>GULLSPÅNG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3026-2021</t>
        </is>
      </c>
      <c r="B5015" s="1" t="n">
        <v>44216</v>
      </c>
      <c r="C5015" s="1" t="n">
        <v>45586</v>
      </c>
      <c r="D5015" t="inlineStr">
        <is>
          <t>VÄSTRA GÖTALANDS LÄN</t>
        </is>
      </c>
      <c r="E5015" t="inlineStr">
        <is>
          <t>KUNGÄLV</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2998-2021</t>
        </is>
      </c>
      <c r="B5016" s="1" t="n">
        <v>44216</v>
      </c>
      <c r="C5016" s="1" t="n">
        <v>45586</v>
      </c>
      <c r="D5016" t="inlineStr">
        <is>
          <t>VÄSTRA GÖTALANDS LÄN</t>
        </is>
      </c>
      <c r="E5016" t="inlineStr">
        <is>
          <t>FÄRGELANDA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3038-2021</t>
        </is>
      </c>
      <c r="B5017" s="1" t="n">
        <v>44216</v>
      </c>
      <c r="C5017" s="1" t="n">
        <v>45586</v>
      </c>
      <c r="D5017" t="inlineStr">
        <is>
          <t>VÄSTRA GÖTALANDS LÄN</t>
        </is>
      </c>
      <c r="E5017" t="inlineStr">
        <is>
          <t>KUNGÄLV</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2838-2021</t>
        </is>
      </c>
      <c r="B5018" s="1" t="n">
        <v>44216</v>
      </c>
      <c r="C5018" s="1" t="n">
        <v>45586</v>
      </c>
      <c r="D5018" t="inlineStr">
        <is>
          <t>VÄSTRA GÖTALANDS LÄN</t>
        </is>
      </c>
      <c r="E5018" t="inlineStr">
        <is>
          <t>HERRLJUNGA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2919-2021</t>
        </is>
      </c>
      <c r="B5019" s="1" t="n">
        <v>44216</v>
      </c>
      <c r="C5019" s="1" t="n">
        <v>45586</v>
      </c>
      <c r="D5019" t="inlineStr">
        <is>
          <t>VÄSTRA GÖTALANDS LÄN</t>
        </is>
      </c>
      <c r="E5019" t="inlineStr">
        <is>
          <t>TJÖRN</t>
        </is>
      </c>
      <c r="F5019" t="inlineStr">
        <is>
          <t>Kommuner</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3125-2021</t>
        </is>
      </c>
      <c r="B5020" s="1" t="n">
        <v>44217</v>
      </c>
      <c r="C5020" s="1" t="n">
        <v>45586</v>
      </c>
      <c r="D5020" t="inlineStr">
        <is>
          <t>VÄSTRA GÖTALANDS LÄN</t>
        </is>
      </c>
      <c r="E5020" t="inlineStr">
        <is>
          <t>UDDEVALLA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3147-2021</t>
        </is>
      </c>
      <c r="B5021" s="1" t="n">
        <v>44217</v>
      </c>
      <c r="C5021" s="1" t="n">
        <v>45586</v>
      </c>
      <c r="D5021" t="inlineStr">
        <is>
          <t>VÄSTRA GÖTALANDS LÄN</t>
        </is>
      </c>
      <c r="E5021" t="inlineStr">
        <is>
          <t>DALS-ED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3294-2021</t>
        </is>
      </c>
      <c r="B5022" s="1" t="n">
        <v>44217</v>
      </c>
      <c r="C5022" s="1" t="n">
        <v>45586</v>
      </c>
      <c r="D5022" t="inlineStr">
        <is>
          <t>VÄSTRA GÖTALANDS LÄN</t>
        </is>
      </c>
      <c r="E5022" t="inlineStr">
        <is>
          <t>KARLSBORG</t>
        </is>
      </c>
      <c r="F5022" t="inlineStr">
        <is>
          <t>Övriga Aktiebolag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3325-2021</t>
        </is>
      </c>
      <c r="B5023" s="1" t="n">
        <v>44217</v>
      </c>
      <c r="C5023" s="1" t="n">
        <v>45586</v>
      </c>
      <c r="D5023" t="inlineStr">
        <is>
          <t>VÄSTRA GÖTALANDS LÄN</t>
        </is>
      </c>
      <c r="E5023" t="inlineStr">
        <is>
          <t>MARK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3846-2021</t>
        </is>
      </c>
      <c r="B5024" s="1" t="n">
        <v>44217</v>
      </c>
      <c r="C5024" s="1" t="n">
        <v>45586</v>
      </c>
      <c r="D5024" t="inlineStr">
        <is>
          <t>VÄSTRA GÖTALANDS LÄN</t>
        </is>
      </c>
      <c r="E5024" t="inlineStr">
        <is>
          <t>DALS-ED</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3773-2021</t>
        </is>
      </c>
      <c r="B5025" s="1" t="n">
        <v>44217</v>
      </c>
      <c r="C5025" s="1" t="n">
        <v>45586</v>
      </c>
      <c r="D5025" t="inlineStr">
        <is>
          <t>VÄSTRA GÖTALANDS LÄN</t>
        </is>
      </c>
      <c r="E5025" t="inlineStr">
        <is>
          <t>DALS-ED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3277-2021</t>
        </is>
      </c>
      <c r="B5026" s="1" t="n">
        <v>44217</v>
      </c>
      <c r="C5026" s="1" t="n">
        <v>45586</v>
      </c>
      <c r="D5026" t="inlineStr">
        <is>
          <t>VÄSTRA GÖTALANDS LÄN</t>
        </is>
      </c>
      <c r="E5026" t="inlineStr">
        <is>
          <t>MELLERUD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3245-2021</t>
        </is>
      </c>
      <c r="B5027" s="1" t="n">
        <v>44217</v>
      </c>
      <c r="C5027" s="1" t="n">
        <v>45586</v>
      </c>
      <c r="D5027" t="inlineStr">
        <is>
          <t>VÄSTRA GÖTALANDS LÄN</t>
        </is>
      </c>
      <c r="E5027" t="inlineStr">
        <is>
          <t>MARK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3293-2021</t>
        </is>
      </c>
      <c r="B5028" s="1" t="n">
        <v>44217</v>
      </c>
      <c r="C5028" s="1" t="n">
        <v>45586</v>
      </c>
      <c r="D5028" t="inlineStr">
        <is>
          <t>VÄSTRA GÖTALANDS LÄN</t>
        </is>
      </c>
      <c r="E5028" t="inlineStr">
        <is>
          <t>ALE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3897-2021</t>
        </is>
      </c>
      <c r="B5029" s="1" t="n">
        <v>44217</v>
      </c>
      <c r="C5029" s="1" t="n">
        <v>45586</v>
      </c>
      <c r="D5029" t="inlineStr">
        <is>
          <t>VÄSTRA GÖTALANDS LÄN</t>
        </is>
      </c>
      <c r="E5029" t="inlineStr">
        <is>
          <t>TROLLHÄTTAN</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3392-2021</t>
        </is>
      </c>
      <c r="B5030" s="1" t="n">
        <v>44218</v>
      </c>
      <c r="C5030" s="1" t="n">
        <v>45586</v>
      </c>
      <c r="D5030" t="inlineStr">
        <is>
          <t>VÄSTRA GÖTALANDS LÄN</t>
        </is>
      </c>
      <c r="E5030" t="inlineStr">
        <is>
          <t>ULRICEHAMN</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3408-2021</t>
        </is>
      </c>
      <c r="B5031" s="1" t="n">
        <v>44218</v>
      </c>
      <c r="C5031" s="1" t="n">
        <v>45586</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3548-2021</t>
        </is>
      </c>
      <c r="B5032" s="1" t="n">
        <v>44218</v>
      </c>
      <c r="C5032" s="1" t="n">
        <v>45586</v>
      </c>
      <c r="D5032" t="inlineStr">
        <is>
          <t>VÄSTRA GÖTALANDS LÄN</t>
        </is>
      </c>
      <c r="E5032" t="inlineStr">
        <is>
          <t>TRANEMO</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3468-2021</t>
        </is>
      </c>
      <c r="B5033" s="1" t="n">
        <v>44218</v>
      </c>
      <c r="C5033" s="1" t="n">
        <v>45586</v>
      </c>
      <c r="D5033" t="inlineStr">
        <is>
          <t>VÄSTRA GÖTALANDS LÄN</t>
        </is>
      </c>
      <c r="E5033" t="inlineStr">
        <is>
          <t>DALS-ED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3481-2021</t>
        </is>
      </c>
      <c r="B5034" s="1" t="n">
        <v>44218</v>
      </c>
      <c r="C5034" s="1" t="n">
        <v>45586</v>
      </c>
      <c r="D5034" t="inlineStr">
        <is>
          <t>VÄSTRA GÖTALANDS LÄN</t>
        </is>
      </c>
      <c r="E5034" t="inlineStr">
        <is>
          <t>SKARA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3390-2021</t>
        </is>
      </c>
      <c r="B5035" s="1" t="n">
        <v>44218</v>
      </c>
      <c r="C5035" s="1" t="n">
        <v>45586</v>
      </c>
      <c r="D5035" t="inlineStr">
        <is>
          <t>VÄSTRA GÖTALANDS LÄN</t>
        </is>
      </c>
      <c r="E5035" t="inlineStr">
        <is>
          <t>DALS-ED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3422-2021</t>
        </is>
      </c>
      <c r="B5036" s="1" t="n">
        <v>44218</v>
      </c>
      <c r="C5036" s="1" t="n">
        <v>45586</v>
      </c>
      <c r="D5036" t="inlineStr">
        <is>
          <t>VÄSTRA GÖTALANDS LÄN</t>
        </is>
      </c>
      <c r="E5036" t="inlineStr">
        <is>
          <t>VARA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3451-2021</t>
        </is>
      </c>
      <c r="B5037" s="1" t="n">
        <v>44218</v>
      </c>
      <c r="C5037" s="1" t="n">
        <v>45586</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3356-2021</t>
        </is>
      </c>
      <c r="B5038" s="1" t="n">
        <v>44218</v>
      </c>
      <c r="C5038" s="1" t="n">
        <v>45586</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3380-2021</t>
        </is>
      </c>
      <c r="B5039" s="1" t="n">
        <v>44218</v>
      </c>
      <c r="C5039" s="1" t="n">
        <v>45586</v>
      </c>
      <c r="D5039" t="inlineStr">
        <is>
          <t>VÄSTRA GÖTALANDS LÄN</t>
        </is>
      </c>
      <c r="E5039" t="inlineStr">
        <is>
          <t>ULRICEHAMN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3476-2021</t>
        </is>
      </c>
      <c r="B5040" s="1" t="n">
        <v>44218</v>
      </c>
      <c r="C5040" s="1" t="n">
        <v>45586</v>
      </c>
      <c r="D5040" t="inlineStr">
        <is>
          <t>VÄSTRA GÖTALANDS LÄN</t>
        </is>
      </c>
      <c r="E5040" t="inlineStr">
        <is>
          <t>SKARA</t>
        </is>
      </c>
      <c r="F5040" t="inlineStr">
        <is>
          <t>Kyrkan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3614-2021</t>
        </is>
      </c>
      <c r="B5041" s="1" t="n">
        <v>44220</v>
      </c>
      <c r="C5041" s="1" t="n">
        <v>45586</v>
      </c>
      <c r="D5041" t="inlineStr">
        <is>
          <t>VÄSTRA GÖTALANDS LÄN</t>
        </is>
      </c>
      <c r="E5041" t="inlineStr">
        <is>
          <t>ULRICEHAMN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3764-2021</t>
        </is>
      </c>
      <c r="B5042" s="1" t="n">
        <v>44220</v>
      </c>
      <c r="C5042" s="1" t="n">
        <v>45586</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3581-2021</t>
        </is>
      </c>
      <c r="B5043" s="1" t="n">
        <v>44220</v>
      </c>
      <c r="C5043" s="1" t="n">
        <v>45586</v>
      </c>
      <c r="D5043" t="inlineStr">
        <is>
          <t>VÄSTRA GÖTALANDS LÄN</t>
        </is>
      </c>
      <c r="E5043" t="inlineStr">
        <is>
          <t>TIDAHOLM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3622-2021</t>
        </is>
      </c>
      <c r="B5044" s="1" t="n">
        <v>44220</v>
      </c>
      <c r="C5044" s="1" t="n">
        <v>45586</v>
      </c>
      <c r="D5044" t="inlineStr">
        <is>
          <t>VÄSTRA GÖTALANDS LÄN</t>
        </is>
      </c>
      <c r="E5044" t="inlineStr">
        <is>
          <t>FALKÖPING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3655-2021</t>
        </is>
      </c>
      <c r="B5045" s="1" t="n">
        <v>44221</v>
      </c>
      <c r="C5045" s="1" t="n">
        <v>45586</v>
      </c>
      <c r="D5045" t="inlineStr">
        <is>
          <t>VÄSTRA GÖTALANDS LÄN</t>
        </is>
      </c>
      <c r="E5045" t="inlineStr">
        <is>
          <t>HÄRRYDA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3753-2021</t>
        </is>
      </c>
      <c r="B5046" s="1" t="n">
        <v>44221</v>
      </c>
      <c r="C5046" s="1" t="n">
        <v>45586</v>
      </c>
      <c r="D5046" t="inlineStr">
        <is>
          <t>VÄSTRA GÖTALANDS LÄN</t>
        </is>
      </c>
      <c r="E5046" t="inlineStr">
        <is>
          <t>BOLLEBYGD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3648-2021</t>
        </is>
      </c>
      <c r="B5047" s="1" t="n">
        <v>44221</v>
      </c>
      <c r="C5047" s="1" t="n">
        <v>45586</v>
      </c>
      <c r="D5047" t="inlineStr">
        <is>
          <t>VÄSTRA GÖTALANDS LÄN</t>
        </is>
      </c>
      <c r="E5047" t="inlineStr">
        <is>
          <t>HÄRRYDA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3662-2021</t>
        </is>
      </c>
      <c r="B5048" s="1" t="n">
        <v>44221</v>
      </c>
      <c r="C5048" s="1" t="n">
        <v>45586</v>
      </c>
      <c r="D5048" t="inlineStr">
        <is>
          <t>VÄSTRA GÖTALANDS LÄN</t>
        </is>
      </c>
      <c r="E5048" t="inlineStr">
        <is>
          <t>HÄRRYDA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3670-2021</t>
        </is>
      </c>
      <c r="B5049" s="1" t="n">
        <v>44221</v>
      </c>
      <c r="C5049" s="1" t="n">
        <v>45586</v>
      </c>
      <c r="D5049" t="inlineStr">
        <is>
          <t>VÄSTRA GÖTALANDS LÄN</t>
        </is>
      </c>
      <c r="E5049" t="inlineStr">
        <is>
          <t>HÄRRYDA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3633-2021</t>
        </is>
      </c>
      <c r="B5050" s="1" t="n">
        <v>44221</v>
      </c>
      <c r="C5050" s="1" t="n">
        <v>45586</v>
      </c>
      <c r="D5050" t="inlineStr">
        <is>
          <t>VÄSTRA GÖTALANDS LÄN</t>
        </is>
      </c>
      <c r="E5050" t="inlineStr">
        <is>
          <t>HÄRRYDA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3644-2021</t>
        </is>
      </c>
      <c r="B5051" s="1" t="n">
        <v>44221</v>
      </c>
      <c r="C5051" s="1" t="n">
        <v>45586</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3725-2021</t>
        </is>
      </c>
      <c r="B5052" s="1" t="n">
        <v>44221</v>
      </c>
      <c r="C5052" s="1" t="n">
        <v>45586</v>
      </c>
      <c r="D5052" t="inlineStr">
        <is>
          <t>VÄSTRA GÖTALANDS LÄN</t>
        </is>
      </c>
      <c r="E5052" t="inlineStr">
        <is>
          <t>VARA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3774-2021</t>
        </is>
      </c>
      <c r="B5053" s="1" t="n">
        <v>44221</v>
      </c>
      <c r="C5053" s="1" t="n">
        <v>45586</v>
      </c>
      <c r="D5053" t="inlineStr">
        <is>
          <t>VÄSTRA GÖTALANDS LÄN</t>
        </is>
      </c>
      <c r="E5053" t="inlineStr">
        <is>
          <t>ULRICEHAMN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3744-2021</t>
        </is>
      </c>
      <c r="B5054" s="1" t="n">
        <v>44221</v>
      </c>
      <c r="C5054" s="1" t="n">
        <v>45586</v>
      </c>
      <c r="D5054" t="inlineStr">
        <is>
          <t>VÄSTRA GÖTALANDS LÄN</t>
        </is>
      </c>
      <c r="E5054" t="inlineStr">
        <is>
          <t>BOLLEBYGD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3629-2021</t>
        </is>
      </c>
      <c r="B5055" s="1" t="n">
        <v>44221</v>
      </c>
      <c r="C5055" s="1" t="n">
        <v>45586</v>
      </c>
      <c r="D5055" t="inlineStr">
        <is>
          <t>VÄSTRA GÖTALANDS LÄN</t>
        </is>
      </c>
      <c r="E5055" t="inlineStr">
        <is>
          <t>HÄRRYDA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3642-2021</t>
        </is>
      </c>
      <c r="B5056" s="1" t="n">
        <v>44221</v>
      </c>
      <c r="C5056" s="1" t="n">
        <v>45586</v>
      </c>
      <c r="D5056" t="inlineStr">
        <is>
          <t>VÄSTRA GÖTALANDS LÄN</t>
        </is>
      </c>
      <c r="E5056" t="inlineStr">
        <is>
          <t>HÄRRYDA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3656-2021</t>
        </is>
      </c>
      <c r="B5057" s="1" t="n">
        <v>44221</v>
      </c>
      <c r="C5057" s="1" t="n">
        <v>45586</v>
      </c>
      <c r="D5057" t="inlineStr">
        <is>
          <t>VÄSTRA GÖTALANDS LÄN</t>
        </is>
      </c>
      <c r="E5057" t="inlineStr">
        <is>
          <t>TÖREBODA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3680-2021</t>
        </is>
      </c>
      <c r="B5058" s="1" t="n">
        <v>44221</v>
      </c>
      <c r="C5058" s="1" t="n">
        <v>45586</v>
      </c>
      <c r="D5058" t="inlineStr">
        <is>
          <t>VÄSTRA GÖTALANDS LÄN</t>
        </is>
      </c>
      <c r="E5058" t="inlineStr">
        <is>
          <t>VARA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3708-2021</t>
        </is>
      </c>
      <c r="B5059" s="1" t="n">
        <v>44221</v>
      </c>
      <c r="C5059" s="1" t="n">
        <v>45586</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3789-2021</t>
        </is>
      </c>
      <c r="B5060" s="1" t="n">
        <v>44221</v>
      </c>
      <c r="C5060" s="1" t="n">
        <v>45586</v>
      </c>
      <c r="D5060" t="inlineStr">
        <is>
          <t>VÄSTRA GÖTALANDS LÄN</t>
        </is>
      </c>
      <c r="E5060" t="inlineStr">
        <is>
          <t>TANUM</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4148-2021</t>
        </is>
      </c>
      <c r="B5061" s="1" t="n">
        <v>44221</v>
      </c>
      <c r="C5061" s="1" t="n">
        <v>45586</v>
      </c>
      <c r="D5061" t="inlineStr">
        <is>
          <t>VÄSTRA GÖTALANDS LÄN</t>
        </is>
      </c>
      <c r="E5061" t="inlineStr">
        <is>
          <t>MELLERUD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3996-2021</t>
        </is>
      </c>
      <c r="B5062" s="1" t="n">
        <v>44221</v>
      </c>
      <c r="C5062" s="1" t="n">
        <v>45586</v>
      </c>
      <c r="D5062" t="inlineStr">
        <is>
          <t>VÄSTRA GÖTALANDS LÄN</t>
        </is>
      </c>
      <c r="E5062" t="inlineStr">
        <is>
          <t>SKÖVDE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4147-2021</t>
        </is>
      </c>
      <c r="B5063" s="1" t="n">
        <v>44221</v>
      </c>
      <c r="C5063" s="1" t="n">
        <v>45586</v>
      </c>
      <c r="D5063" t="inlineStr">
        <is>
          <t>VÄSTRA GÖTALANDS LÄN</t>
        </is>
      </c>
      <c r="E5063" t="inlineStr">
        <is>
          <t>MARIESTAD</t>
        </is>
      </c>
      <c r="G5063" t="n">
        <v>45.2</v>
      </c>
      <c r="H5063" t="n">
        <v>0</v>
      </c>
      <c r="I5063" t="n">
        <v>0</v>
      </c>
      <c r="J5063" t="n">
        <v>0</v>
      </c>
      <c r="K5063" t="n">
        <v>0</v>
      </c>
      <c r="L5063" t="n">
        <v>0</v>
      </c>
      <c r="M5063" t="n">
        <v>0</v>
      </c>
      <c r="N5063" t="n">
        <v>0</v>
      </c>
      <c r="O5063" t="n">
        <v>0</v>
      </c>
      <c r="P5063" t="n">
        <v>0</v>
      </c>
      <c r="Q5063" t="n">
        <v>0</v>
      </c>
      <c r="R5063" s="2" t="inlineStr"/>
    </row>
    <row r="5064" ht="15" customHeight="1">
      <c r="A5064" t="inlineStr">
        <is>
          <t>A 4556-2021</t>
        </is>
      </c>
      <c r="B5064" s="1" t="n">
        <v>44221</v>
      </c>
      <c r="C5064" s="1" t="n">
        <v>45586</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3860-2021</t>
        </is>
      </c>
      <c r="B5065" s="1" t="n">
        <v>44222</v>
      </c>
      <c r="C5065" s="1" t="n">
        <v>45586</v>
      </c>
      <c r="D5065" t="inlineStr">
        <is>
          <t>VÄSTRA GÖTALANDS LÄN</t>
        </is>
      </c>
      <c r="E5065" t="inlineStr">
        <is>
          <t>HERRLJUNGA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3870-2021</t>
        </is>
      </c>
      <c r="B5066" s="1" t="n">
        <v>44222</v>
      </c>
      <c r="C5066" s="1" t="n">
        <v>45586</v>
      </c>
      <c r="D5066" t="inlineStr">
        <is>
          <t>VÄSTRA GÖTALANDS LÄN</t>
        </is>
      </c>
      <c r="E5066" t="inlineStr">
        <is>
          <t>TRANEMO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4018-2021</t>
        </is>
      </c>
      <c r="B5067" s="1" t="n">
        <v>44222</v>
      </c>
      <c r="C5067" s="1" t="n">
        <v>45586</v>
      </c>
      <c r="D5067" t="inlineStr">
        <is>
          <t>VÄSTRA GÖTALANDS LÄN</t>
        </is>
      </c>
      <c r="E5067" t="inlineStr">
        <is>
          <t>ULRICEHAMN</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4075-2021</t>
        </is>
      </c>
      <c r="B5068" s="1" t="n">
        <v>44222</v>
      </c>
      <c r="C5068" s="1" t="n">
        <v>45586</v>
      </c>
      <c r="D5068" t="inlineStr">
        <is>
          <t>VÄSTRA GÖTALANDS LÄN</t>
        </is>
      </c>
      <c r="E5068" t="inlineStr">
        <is>
          <t>DALS-ED</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4095-2021</t>
        </is>
      </c>
      <c r="B5069" s="1" t="n">
        <v>44222</v>
      </c>
      <c r="C5069" s="1" t="n">
        <v>45586</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4058-2021</t>
        </is>
      </c>
      <c r="B5070" s="1" t="n">
        <v>44222</v>
      </c>
      <c r="C5070" s="1" t="n">
        <v>45586</v>
      </c>
      <c r="D5070" t="inlineStr">
        <is>
          <t>VÄSTRA GÖTALANDS LÄN</t>
        </is>
      </c>
      <c r="E5070" t="inlineStr">
        <is>
          <t>VARA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4087-2021</t>
        </is>
      </c>
      <c r="B5071" s="1" t="n">
        <v>44222</v>
      </c>
      <c r="C5071" s="1" t="n">
        <v>45586</v>
      </c>
      <c r="D5071" t="inlineStr">
        <is>
          <t>VÄSTRA GÖTALANDS LÄN</t>
        </is>
      </c>
      <c r="E5071" t="inlineStr">
        <is>
          <t>FÄRGELANDA</t>
        </is>
      </c>
      <c r="G5071" t="n">
        <v>14.6</v>
      </c>
      <c r="H5071" t="n">
        <v>0</v>
      </c>
      <c r="I5071" t="n">
        <v>0</v>
      </c>
      <c r="J5071" t="n">
        <v>0</v>
      </c>
      <c r="K5071" t="n">
        <v>0</v>
      </c>
      <c r="L5071" t="n">
        <v>0</v>
      </c>
      <c r="M5071" t="n">
        <v>0</v>
      </c>
      <c r="N5071" t="n">
        <v>0</v>
      </c>
      <c r="O5071" t="n">
        <v>0</v>
      </c>
      <c r="P5071" t="n">
        <v>0</v>
      </c>
      <c r="Q5071" t="n">
        <v>0</v>
      </c>
      <c r="R5071" s="2" t="inlineStr"/>
    </row>
    <row r="5072" ht="15" customHeight="1">
      <c r="A5072" t="inlineStr">
        <is>
          <t>A 4105-2021</t>
        </is>
      </c>
      <c r="B5072" s="1" t="n">
        <v>44222</v>
      </c>
      <c r="C5072" s="1" t="n">
        <v>45586</v>
      </c>
      <c r="D5072" t="inlineStr">
        <is>
          <t>VÄSTRA GÖTALANDS LÄN</t>
        </is>
      </c>
      <c r="E5072" t="inlineStr">
        <is>
          <t>BENGTSFORS</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4072-2021</t>
        </is>
      </c>
      <c r="B5073" s="1" t="n">
        <v>44222</v>
      </c>
      <c r="C5073" s="1" t="n">
        <v>45586</v>
      </c>
      <c r="D5073" t="inlineStr">
        <is>
          <t>VÄSTRA GÖTALANDS LÄN</t>
        </is>
      </c>
      <c r="E5073" t="inlineStr">
        <is>
          <t>ÅMÅL</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4084-2021</t>
        </is>
      </c>
      <c r="B5074" s="1" t="n">
        <v>44222</v>
      </c>
      <c r="C5074" s="1" t="n">
        <v>45586</v>
      </c>
      <c r="D5074" t="inlineStr">
        <is>
          <t>VÄSTRA GÖTALANDS LÄN</t>
        </is>
      </c>
      <c r="E5074" t="inlineStr">
        <is>
          <t>FÄRGELANDA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4092-2021</t>
        </is>
      </c>
      <c r="B5075" s="1" t="n">
        <v>44222</v>
      </c>
      <c r="C5075" s="1" t="n">
        <v>45586</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4154-2021</t>
        </is>
      </c>
      <c r="B5076" s="1" t="n">
        <v>44223</v>
      </c>
      <c r="C5076" s="1" t="n">
        <v>45586</v>
      </c>
      <c r="D5076" t="inlineStr">
        <is>
          <t>VÄSTRA GÖTALANDS LÄN</t>
        </is>
      </c>
      <c r="E5076" t="inlineStr">
        <is>
          <t>ESSUNGA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4233-2021</t>
        </is>
      </c>
      <c r="B5077" s="1" t="n">
        <v>44223</v>
      </c>
      <c r="C5077" s="1" t="n">
        <v>45586</v>
      </c>
      <c r="D5077" t="inlineStr">
        <is>
          <t>VÄSTRA GÖTALANDS LÄN</t>
        </is>
      </c>
      <c r="E5077" t="inlineStr">
        <is>
          <t>STENUNGSUND</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4332-2021</t>
        </is>
      </c>
      <c r="B5078" s="1" t="n">
        <v>44223</v>
      </c>
      <c r="C5078" s="1" t="n">
        <v>45586</v>
      </c>
      <c r="D5078" t="inlineStr">
        <is>
          <t>VÄSTRA GÖTALANDS LÄN</t>
        </is>
      </c>
      <c r="E5078" t="inlineStr">
        <is>
          <t>MUNKEDAL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4364-2021</t>
        </is>
      </c>
      <c r="B5079" s="1" t="n">
        <v>44223</v>
      </c>
      <c r="C5079" s="1" t="n">
        <v>45586</v>
      </c>
      <c r="D5079" t="inlineStr">
        <is>
          <t>VÄSTRA GÖTALANDS LÄN</t>
        </is>
      </c>
      <c r="E5079" t="inlineStr">
        <is>
          <t>SKÖVDE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4359-2021</t>
        </is>
      </c>
      <c r="B5080" s="1" t="n">
        <v>44223</v>
      </c>
      <c r="C5080" s="1" t="n">
        <v>45586</v>
      </c>
      <c r="D5080" t="inlineStr">
        <is>
          <t>VÄSTRA GÖTALANDS LÄN</t>
        </is>
      </c>
      <c r="E5080" t="inlineStr">
        <is>
          <t>MÖLNDAL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4140-2021</t>
        </is>
      </c>
      <c r="B5081" s="1" t="n">
        <v>44223</v>
      </c>
      <c r="C5081" s="1" t="n">
        <v>45586</v>
      </c>
      <c r="D5081" t="inlineStr">
        <is>
          <t>VÄSTRA GÖTALANDS LÄN</t>
        </is>
      </c>
      <c r="E5081" t="inlineStr">
        <is>
          <t>HJO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4182-2021</t>
        </is>
      </c>
      <c r="B5082" s="1" t="n">
        <v>44223</v>
      </c>
      <c r="C5082" s="1" t="n">
        <v>45586</v>
      </c>
      <c r="D5082" t="inlineStr">
        <is>
          <t>VÄSTRA GÖTALANDS LÄN</t>
        </is>
      </c>
      <c r="E5082" t="inlineStr">
        <is>
          <t>HJO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4380-2021</t>
        </is>
      </c>
      <c r="B5083" s="1" t="n">
        <v>44223</v>
      </c>
      <c r="C5083" s="1" t="n">
        <v>45586</v>
      </c>
      <c r="D5083" t="inlineStr">
        <is>
          <t>VÄSTRA GÖTALANDS LÄN</t>
        </is>
      </c>
      <c r="E5083" t="inlineStr">
        <is>
          <t>GRÄSTORP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4336-2021</t>
        </is>
      </c>
      <c r="B5084" s="1" t="n">
        <v>44223</v>
      </c>
      <c r="C5084" s="1" t="n">
        <v>45586</v>
      </c>
      <c r="D5084" t="inlineStr">
        <is>
          <t>VÄSTRA GÖTALANDS LÄN</t>
        </is>
      </c>
      <c r="E5084" t="inlineStr">
        <is>
          <t>MÖLNDAL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4390-2021</t>
        </is>
      </c>
      <c r="B5085" s="1" t="n">
        <v>44223</v>
      </c>
      <c r="C5085" s="1" t="n">
        <v>45586</v>
      </c>
      <c r="D5085" t="inlineStr">
        <is>
          <t>VÄSTRA GÖTALANDS LÄN</t>
        </is>
      </c>
      <c r="E5085" t="inlineStr">
        <is>
          <t>TÖREBODA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4585-2021</t>
        </is>
      </c>
      <c r="B5086" s="1" t="n">
        <v>44223</v>
      </c>
      <c r="C5086" s="1" t="n">
        <v>45586</v>
      </c>
      <c r="D5086" t="inlineStr">
        <is>
          <t>VÄSTRA GÖTALANDS LÄN</t>
        </is>
      </c>
      <c r="E5086" t="inlineStr">
        <is>
          <t>VÅRGÅRDA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4577-2021</t>
        </is>
      </c>
      <c r="B5087" s="1" t="n">
        <v>44223</v>
      </c>
      <c r="C5087" s="1" t="n">
        <v>45586</v>
      </c>
      <c r="D5087" t="inlineStr">
        <is>
          <t>VÄSTRA GÖTALANDS LÄN</t>
        </is>
      </c>
      <c r="E5087" t="inlineStr">
        <is>
          <t>SVENLJUNGA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4544-2021</t>
        </is>
      </c>
      <c r="B5088" s="1" t="n">
        <v>44224</v>
      </c>
      <c r="C5088" s="1" t="n">
        <v>45586</v>
      </c>
      <c r="D5088" t="inlineStr">
        <is>
          <t>VÄSTRA GÖTALANDS LÄN</t>
        </is>
      </c>
      <c r="E5088" t="inlineStr">
        <is>
          <t>TROLLHÄTTAN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4521-2021</t>
        </is>
      </c>
      <c r="B5089" s="1" t="n">
        <v>44224</v>
      </c>
      <c r="C5089" s="1" t="n">
        <v>45586</v>
      </c>
      <c r="D5089" t="inlineStr">
        <is>
          <t>VÄSTRA GÖTALANDS LÄN</t>
        </is>
      </c>
      <c r="E5089" t="inlineStr">
        <is>
          <t>HJO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4442-2021</t>
        </is>
      </c>
      <c r="B5090" s="1" t="n">
        <v>44224</v>
      </c>
      <c r="C5090" s="1" t="n">
        <v>45586</v>
      </c>
      <c r="D5090" t="inlineStr">
        <is>
          <t>VÄSTRA GÖTALANDS LÄN</t>
        </is>
      </c>
      <c r="E5090" t="inlineStr">
        <is>
          <t>SVENLJUNGA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4491-2021</t>
        </is>
      </c>
      <c r="B5091" s="1" t="n">
        <v>44224</v>
      </c>
      <c r="C5091" s="1" t="n">
        <v>45586</v>
      </c>
      <c r="D5091" t="inlineStr">
        <is>
          <t>VÄSTRA GÖTALANDS LÄN</t>
        </is>
      </c>
      <c r="E5091" t="inlineStr">
        <is>
          <t>SVENLJUNGA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4538-2021</t>
        </is>
      </c>
      <c r="B5092" s="1" t="n">
        <v>44224</v>
      </c>
      <c r="C5092" s="1" t="n">
        <v>45586</v>
      </c>
      <c r="D5092" t="inlineStr">
        <is>
          <t>VÄSTRA GÖTALANDS LÄN</t>
        </is>
      </c>
      <c r="E5092" t="inlineStr">
        <is>
          <t>GÖTENE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4552-2021</t>
        </is>
      </c>
      <c r="B5093" s="1" t="n">
        <v>44224</v>
      </c>
      <c r="C5093" s="1" t="n">
        <v>45586</v>
      </c>
      <c r="D5093" t="inlineStr">
        <is>
          <t>VÄSTRA GÖTALANDS LÄN</t>
        </is>
      </c>
      <c r="E5093" t="inlineStr">
        <is>
          <t>FÄRGELANDA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4559-2021</t>
        </is>
      </c>
      <c r="B5094" s="1" t="n">
        <v>44224</v>
      </c>
      <c r="C5094" s="1" t="n">
        <v>45586</v>
      </c>
      <c r="D5094" t="inlineStr">
        <is>
          <t>VÄSTRA GÖTALANDS LÄN</t>
        </is>
      </c>
      <c r="E5094" t="inlineStr">
        <is>
          <t>FÄRGELANDA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4572-2021</t>
        </is>
      </c>
      <c r="B5095" s="1" t="n">
        <v>44224</v>
      </c>
      <c r="C5095" s="1" t="n">
        <v>45586</v>
      </c>
      <c r="D5095" t="inlineStr">
        <is>
          <t>VÄSTRA GÖTALANDS LÄN</t>
        </is>
      </c>
      <c r="E5095" t="inlineStr">
        <is>
          <t>BORÅS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4626-2021</t>
        </is>
      </c>
      <c r="B5096" s="1" t="n">
        <v>44224</v>
      </c>
      <c r="C5096" s="1" t="n">
        <v>45586</v>
      </c>
      <c r="D5096" t="inlineStr">
        <is>
          <t>VÄSTRA GÖTALANDS LÄN</t>
        </is>
      </c>
      <c r="E5096" t="inlineStr">
        <is>
          <t>BENGTSFORS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4457-2021</t>
        </is>
      </c>
      <c r="B5097" s="1" t="n">
        <v>44224</v>
      </c>
      <c r="C5097" s="1" t="n">
        <v>45586</v>
      </c>
      <c r="D5097" t="inlineStr">
        <is>
          <t>VÄSTRA GÖTALANDS LÄN</t>
        </is>
      </c>
      <c r="E5097" t="inlineStr">
        <is>
          <t>SVENLJUNGA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4541-2021</t>
        </is>
      </c>
      <c r="B5098" s="1" t="n">
        <v>44224</v>
      </c>
      <c r="C5098" s="1" t="n">
        <v>45586</v>
      </c>
      <c r="D5098" t="inlineStr">
        <is>
          <t>VÄSTRA GÖTALANDS LÄN</t>
        </is>
      </c>
      <c r="E5098" t="inlineStr">
        <is>
          <t>GÖTENE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4892-2021</t>
        </is>
      </c>
      <c r="B5099" s="1" t="n">
        <v>44224</v>
      </c>
      <c r="C5099" s="1" t="n">
        <v>45586</v>
      </c>
      <c r="D5099" t="inlineStr">
        <is>
          <t>VÄSTRA GÖTALANDS LÄN</t>
        </is>
      </c>
      <c r="E5099" t="inlineStr">
        <is>
          <t>KUNGÄLV</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5082-2021</t>
        </is>
      </c>
      <c r="B5100" s="1" t="n">
        <v>44224</v>
      </c>
      <c r="C5100" s="1" t="n">
        <v>45586</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4766-2021</t>
        </is>
      </c>
      <c r="B5101" s="1" t="n">
        <v>44225</v>
      </c>
      <c r="C5101" s="1" t="n">
        <v>45586</v>
      </c>
      <c r="D5101" t="inlineStr">
        <is>
          <t>VÄSTRA GÖTALANDS LÄN</t>
        </is>
      </c>
      <c r="E5101" t="inlineStr">
        <is>
          <t>TROLLHÄTTAN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4787-2021</t>
        </is>
      </c>
      <c r="B5102" s="1" t="n">
        <v>44225</v>
      </c>
      <c r="C5102" s="1" t="n">
        <v>45586</v>
      </c>
      <c r="D5102" t="inlineStr">
        <is>
          <t>VÄSTRA GÖTALANDS LÄN</t>
        </is>
      </c>
      <c r="E5102" t="inlineStr">
        <is>
          <t>FÄRGELANDA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4816-2021</t>
        </is>
      </c>
      <c r="B5103" s="1" t="n">
        <v>44225</v>
      </c>
      <c r="C5103" s="1" t="n">
        <v>45586</v>
      </c>
      <c r="D5103" t="inlineStr">
        <is>
          <t>VÄSTRA GÖTALANDS LÄN</t>
        </is>
      </c>
      <c r="E5103" t="inlineStr">
        <is>
          <t>VÄNERSBORG</t>
        </is>
      </c>
      <c r="F5103" t="inlineStr">
        <is>
          <t>Bergvik skog väst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4706-2021</t>
        </is>
      </c>
      <c r="B5104" s="1" t="n">
        <v>44225</v>
      </c>
      <c r="C5104" s="1" t="n">
        <v>45586</v>
      </c>
      <c r="D5104" t="inlineStr">
        <is>
          <t>VÄSTRA GÖTALANDS LÄN</t>
        </is>
      </c>
      <c r="E5104" t="inlineStr">
        <is>
          <t>HERRLJUNGA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4765-2021</t>
        </is>
      </c>
      <c r="B5105" s="1" t="n">
        <v>44225</v>
      </c>
      <c r="C5105" s="1" t="n">
        <v>45586</v>
      </c>
      <c r="D5105" t="inlineStr">
        <is>
          <t>VÄSTRA GÖTALANDS LÄN</t>
        </is>
      </c>
      <c r="E5105" t="inlineStr">
        <is>
          <t>TROLLHÄTTAN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4780-2021</t>
        </is>
      </c>
      <c r="B5106" s="1" t="n">
        <v>44225</v>
      </c>
      <c r="C5106" s="1" t="n">
        <v>45586</v>
      </c>
      <c r="D5106" t="inlineStr">
        <is>
          <t>VÄSTRA GÖTALANDS LÄN</t>
        </is>
      </c>
      <c r="E5106" t="inlineStr">
        <is>
          <t>KARLSBORG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4843-2021</t>
        </is>
      </c>
      <c r="B5107" s="1" t="n">
        <v>44225</v>
      </c>
      <c r="C5107" s="1" t="n">
        <v>45586</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4705-2021</t>
        </is>
      </c>
      <c r="B5108" s="1" t="n">
        <v>44225</v>
      </c>
      <c r="C5108" s="1" t="n">
        <v>45586</v>
      </c>
      <c r="D5108" t="inlineStr">
        <is>
          <t>VÄSTRA GÖTALANDS LÄN</t>
        </is>
      </c>
      <c r="E5108" t="inlineStr">
        <is>
          <t>FÄRGELANDA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5149-2021</t>
        </is>
      </c>
      <c r="B5109" s="1" t="n">
        <v>44225</v>
      </c>
      <c r="C5109" s="1" t="n">
        <v>45586</v>
      </c>
      <c r="D5109" t="inlineStr">
        <is>
          <t>VÄSTRA GÖTALANDS LÄN</t>
        </is>
      </c>
      <c r="E5109" t="inlineStr">
        <is>
          <t>MARK</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5011-2021</t>
        </is>
      </c>
      <c r="B5110" s="1" t="n">
        <v>44228</v>
      </c>
      <c r="C5110" s="1" t="n">
        <v>45586</v>
      </c>
      <c r="D5110" t="inlineStr">
        <is>
          <t>VÄSTRA GÖTALANDS LÄN</t>
        </is>
      </c>
      <c r="E5110" t="inlineStr">
        <is>
          <t>FALKÖPING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5051-2021</t>
        </is>
      </c>
      <c r="B5111" s="1" t="n">
        <v>44228</v>
      </c>
      <c r="C5111" s="1" t="n">
        <v>45586</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5103-2021</t>
        </is>
      </c>
      <c r="B5112" s="1" t="n">
        <v>44228</v>
      </c>
      <c r="C5112" s="1" t="n">
        <v>45586</v>
      </c>
      <c r="D5112" t="inlineStr">
        <is>
          <t>VÄSTRA GÖTALANDS LÄN</t>
        </is>
      </c>
      <c r="E5112" t="inlineStr">
        <is>
          <t>HJO</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5127-2021</t>
        </is>
      </c>
      <c r="B5113" s="1" t="n">
        <v>44228</v>
      </c>
      <c r="C5113" s="1" t="n">
        <v>45586</v>
      </c>
      <c r="D5113" t="inlineStr">
        <is>
          <t>VÄSTRA GÖTALANDS LÄN</t>
        </is>
      </c>
      <c r="E5113" t="inlineStr">
        <is>
          <t>BORÅS</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5147-2021</t>
        </is>
      </c>
      <c r="B5114" s="1" t="n">
        <v>44228</v>
      </c>
      <c r="C5114" s="1" t="n">
        <v>45586</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5177-2021</t>
        </is>
      </c>
      <c r="B5115" s="1" t="n">
        <v>44228</v>
      </c>
      <c r="C5115" s="1" t="n">
        <v>45586</v>
      </c>
      <c r="D5115" t="inlineStr">
        <is>
          <t>VÄSTRA GÖTALANDS LÄN</t>
        </is>
      </c>
      <c r="E5115" t="inlineStr">
        <is>
          <t>FÄRGELANDA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5093-2021</t>
        </is>
      </c>
      <c r="B5116" s="1" t="n">
        <v>44228</v>
      </c>
      <c r="C5116" s="1" t="n">
        <v>45586</v>
      </c>
      <c r="D5116" t="inlineStr">
        <is>
          <t>VÄSTRA GÖTALANDS LÄN</t>
        </is>
      </c>
      <c r="E5116" t="inlineStr">
        <is>
          <t>KUNGÄLV</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5171-2021</t>
        </is>
      </c>
      <c r="B5117" s="1" t="n">
        <v>44228</v>
      </c>
      <c r="C5117" s="1" t="n">
        <v>45586</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5003-2021</t>
        </is>
      </c>
      <c r="B5118" s="1" t="n">
        <v>44228</v>
      </c>
      <c r="C5118" s="1" t="n">
        <v>45586</v>
      </c>
      <c r="D5118" t="inlineStr">
        <is>
          <t>VÄSTRA GÖTALANDS LÄN</t>
        </is>
      </c>
      <c r="E5118" t="inlineStr">
        <is>
          <t>DALS-ED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5099-2021</t>
        </is>
      </c>
      <c r="B5119" s="1" t="n">
        <v>44228</v>
      </c>
      <c r="C5119" s="1" t="n">
        <v>45586</v>
      </c>
      <c r="D5119" t="inlineStr">
        <is>
          <t>VÄSTRA GÖTALANDS LÄN</t>
        </is>
      </c>
      <c r="E5119" t="inlineStr">
        <is>
          <t>KUNGÄLV</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5113-2021</t>
        </is>
      </c>
      <c r="B5120" s="1" t="n">
        <v>44228</v>
      </c>
      <c r="C5120" s="1" t="n">
        <v>45586</v>
      </c>
      <c r="D5120" t="inlineStr">
        <is>
          <t>VÄSTRA GÖTALANDS LÄN</t>
        </is>
      </c>
      <c r="E5120" t="inlineStr">
        <is>
          <t>TRANEMO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5135-2021</t>
        </is>
      </c>
      <c r="B5121" s="1" t="n">
        <v>44228</v>
      </c>
      <c r="C5121" s="1" t="n">
        <v>45586</v>
      </c>
      <c r="D5121" t="inlineStr">
        <is>
          <t>VÄSTRA GÖTALANDS LÄN</t>
        </is>
      </c>
      <c r="E5121" t="inlineStr">
        <is>
          <t>VÅRGÅRDA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5159-2021</t>
        </is>
      </c>
      <c r="B5122" s="1" t="n">
        <v>44228</v>
      </c>
      <c r="C5122" s="1" t="n">
        <v>45586</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5085-2021</t>
        </is>
      </c>
      <c r="B5123" s="1" t="n">
        <v>44228</v>
      </c>
      <c r="C5123" s="1" t="n">
        <v>45586</v>
      </c>
      <c r="D5123" t="inlineStr">
        <is>
          <t>VÄSTRA GÖTALANDS LÄN</t>
        </is>
      </c>
      <c r="E5123" t="inlineStr">
        <is>
          <t>FALKÖPING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5152-2021</t>
        </is>
      </c>
      <c r="B5124" s="1" t="n">
        <v>44228</v>
      </c>
      <c r="C5124" s="1" t="n">
        <v>45586</v>
      </c>
      <c r="D5124" t="inlineStr">
        <is>
          <t>VÄSTRA GÖTALANDS LÄN</t>
        </is>
      </c>
      <c r="E5124" t="inlineStr">
        <is>
          <t>MARIESTAD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5168-2021</t>
        </is>
      </c>
      <c r="B5125" s="1" t="n">
        <v>44228</v>
      </c>
      <c r="C5125" s="1" t="n">
        <v>45586</v>
      </c>
      <c r="D5125" t="inlineStr">
        <is>
          <t>VÄSTRA GÖTALANDS LÄN</t>
        </is>
      </c>
      <c r="E5125" t="inlineStr">
        <is>
          <t>TROLLHÄTTAN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5193-2021</t>
        </is>
      </c>
      <c r="B5126" s="1" t="n">
        <v>44228</v>
      </c>
      <c r="C5126" s="1" t="n">
        <v>45586</v>
      </c>
      <c r="D5126" t="inlineStr">
        <is>
          <t>VÄSTRA GÖTALANDS LÄN</t>
        </is>
      </c>
      <c r="E5126" t="inlineStr">
        <is>
          <t>BOLLEBYGD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5191-2021</t>
        </is>
      </c>
      <c r="B5127" s="1" t="n">
        <v>44228</v>
      </c>
      <c r="C5127" s="1" t="n">
        <v>45586</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5188-2021</t>
        </is>
      </c>
      <c r="B5128" s="1" t="n">
        <v>44228</v>
      </c>
      <c r="C5128" s="1" t="n">
        <v>45586</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5196-2021</t>
        </is>
      </c>
      <c r="B5129" s="1" t="n">
        <v>44228</v>
      </c>
      <c r="C5129" s="1" t="n">
        <v>45586</v>
      </c>
      <c r="D5129" t="inlineStr">
        <is>
          <t>VÄSTRA GÖTALANDS LÄN</t>
        </is>
      </c>
      <c r="E5129" t="inlineStr">
        <is>
          <t>BOLLEBYGD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5405-2021</t>
        </is>
      </c>
      <c r="B5130" s="1" t="n">
        <v>44228</v>
      </c>
      <c r="C5130" s="1" t="n">
        <v>45586</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5023-2021</t>
        </is>
      </c>
      <c r="B5131" s="1" t="n">
        <v>44228</v>
      </c>
      <c r="C5131" s="1" t="n">
        <v>45586</v>
      </c>
      <c r="D5131" t="inlineStr">
        <is>
          <t>VÄSTRA GÖTALANDS LÄN</t>
        </is>
      </c>
      <c r="E5131" t="inlineStr">
        <is>
          <t>TRANEMO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5192-2021</t>
        </is>
      </c>
      <c r="B5132" s="1" t="n">
        <v>44228</v>
      </c>
      <c r="C5132" s="1" t="n">
        <v>45586</v>
      </c>
      <c r="D5132" t="inlineStr">
        <is>
          <t>VÄSTRA GÖTALANDS LÄN</t>
        </is>
      </c>
      <c r="E5132" t="inlineStr">
        <is>
          <t>BOLLEBYGD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5415-2021</t>
        </is>
      </c>
      <c r="B5133" s="1" t="n">
        <v>44228</v>
      </c>
      <c r="C5133" s="1" t="n">
        <v>45586</v>
      </c>
      <c r="D5133" t="inlineStr">
        <is>
          <t>VÄSTRA GÖTALANDS LÄN</t>
        </is>
      </c>
      <c r="E5133" t="inlineStr">
        <is>
          <t>TANUM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5378-2021</t>
        </is>
      </c>
      <c r="B5134" s="1" t="n">
        <v>44229</v>
      </c>
      <c r="C5134" s="1" t="n">
        <v>45586</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5281-2021</t>
        </is>
      </c>
      <c r="B5135" s="1" t="n">
        <v>44229</v>
      </c>
      <c r="C5135" s="1" t="n">
        <v>45586</v>
      </c>
      <c r="D5135" t="inlineStr">
        <is>
          <t>VÄSTRA GÖTALANDS LÄN</t>
        </is>
      </c>
      <c r="E5135" t="inlineStr">
        <is>
          <t>SVENLJUNGA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5390-2021</t>
        </is>
      </c>
      <c r="B5136" s="1" t="n">
        <v>44229</v>
      </c>
      <c r="C5136" s="1" t="n">
        <v>45586</v>
      </c>
      <c r="D5136" t="inlineStr">
        <is>
          <t>VÄSTRA GÖTALANDS LÄN</t>
        </is>
      </c>
      <c r="E5136" t="inlineStr">
        <is>
          <t>TANUM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5416-2021</t>
        </is>
      </c>
      <c r="B5137" s="1" t="n">
        <v>44229</v>
      </c>
      <c r="C5137" s="1" t="n">
        <v>45586</v>
      </c>
      <c r="D5137" t="inlineStr">
        <is>
          <t>VÄSTRA GÖTALANDS LÄN</t>
        </is>
      </c>
      <c r="E5137" t="inlineStr">
        <is>
          <t>TROLLHÄTTAN</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5430-2021</t>
        </is>
      </c>
      <c r="B5138" s="1" t="n">
        <v>44229</v>
      </c>
      <c r="C5138" s="1" t="n">
        <v>45586</v>
      </c>
      <c r="D5138" t="inlineStr">
        <is>
          <t>VÄSTRA GÖTALANDS LÄN</t>
        </is>
      </c>
      <c r="E5138" t="inlineStr">
        <is>
          <t>ULRICEHAMN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5285-2021</t>
        </is>
      </c>
      <c r="B5139" s="1" t="n">
        <v>44229</v>
      </c>
      <c r="C5139" s="1" t="n">
        <v>45586</v>
      </c>
      <c r="D5139" t="inlineStr">
        <is>
          <t>VÄSTRA GÖTALANDS LÄN</t>
        </is>
      </c>
      <c r="E5139" t="inlineStr">
        <is>
          <t>VÄNERSBORG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5331-2021</t>
        </is>
      </c>
      <c r="B5140" s="1" t="n">
        <v>44229</v>
      </c>
      <c r="C5140" s="1" t="n">
        <v>45586</v>
      </c>
      <c r="D5140" t="inlineStr">
        <is>
          <t>VÄSTRA GÖTALANDS LÄN</t>
        </is>
      </c>
      <c r="E5140" t="inlineStr">
        <is>
          <t>TRANEMO</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5358-2021</t>
        </is>
      </c>
      <c r="B5141" s="1" t="n">
        <v>44229</v>
      </c>
      <c r="C5141" s="1" t="n">
        <v>45586</v>
      </c>
      <c r="D5141" t="inlineStr">
        <is>
          <t>VÄSTRA GÖTALANDS LÄN</t>
        </is>
      </c>
      <c r="E5141" t="inlineStr">
        <is>
          <t>LIDKÖPING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5419-2021</t>
        </is>
      </c>
      <c r="B5142" s="1" t="n">
        <v>44229</v>
      </c>
      <c r="C5142" s="1" t="n">
        <v>45586</v>
      </c>
      <c r="D5142" t="inlineStr">
        <is>
          <t>VÄSTRA GÖTALANDS LÄN</t>
        </is>
      </c>
      <c r="E5142" t="inlineStr">
        <is>
          <t>TIDAHOLM</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5820-2021</t>
        </is>
      </c>
      <c r="B5143" s="1" t="n">
        <v>44229</v>
      </c>
      <c r="C5143" s="1" t="n">
        <v>45586</v>
      </c>
      <c r="D5143" t="inlineStr">
        <is>
          <t>VÄSTRA GÖTALANDS LÄN</t>
        </is>
      </c>
      <c r="E5143" t="inlineStr">
        <is>
          <t>VÄNERSBORG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5696-2021</t>
        </is>
      </c>
      <c r="B5144" s="1" t="n">
        <v>44229</v>
      </c>
      <c r="C5144" s="1" t="n">
        <v>45586</v>
      </c>
      <c r="D5144" t="inlineStr">
        <is>
          <t>VÄSTRA GÖTALANDS LÄN</t>
        </is>
      </c>
      <c r="E5144" t="inlineStr">
        <is>
          <t>STRÖMSTAD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5239-2021</t>
        </is>
      </c>
      <c r="B5145" s="1" t="n">
        <v>44229</v>
      </c>
      <c r="C5145" s="1" t="n">
        <v>45586</v>
      </c>
      <c r="D5145" t="inlineStr">
        <is>
          <t>VÄSTRA GÖTALANDS LÄN</t>
        </is>
      </c>
      <c r="E5145" t="inlineStr">
        <is>
          <t>LIDKÖPING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5715-2021</t>
        </is>
      </c>
      <c r="B5146" s="1" t="n">
        <v>44229</v>
      </c>
      <c r="C5146" s="1" t="n">
        <v>45586</v>
      </c>
      <c r="D5146" t="inlineStr">
        <is>
          <t>VÄSTRA GÖTALANDS LÄN</t>
        </is>
      </c>
      <c r="E5146" t="inlineStr">
        <is>
          <t>TANUM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5932-2021</t>
        </is>
      </c>
      <c r="B5147" s="1" t="n">
        <v>44229</v>
      </c>
      <c r="C5147" s="1" t="n">
        <v>45586</v>
      </c>
      <c r="D5147" t="inlineStr">
        <is>
          <t>VÄSTRA GÖTALANDS LÄN</t>
        </is>
      </c>
      <c r="E5147" t="inlineStr">
        <is>
          <t>VÄNERSBORG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5720-2021</t>
        </is>
      </c>
      <c r="B5148" s="1" t="n">
        <v>44229</v>
      </c>
      <c r="C5148" s="1" t="n">
        <v>45586</v>
      </c>
      <c r="D5148" t="inlineStr">
        <is>
          <t>VÄSTRA GÖTALANDS LÄN</t>
        </is>
      </c>
      <c r="E5148" t="inlineStr">
        <is>
          <t>VÄNERSBORG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5532-2021</t>
        </is>
      </c>
      <c r="B5149" s="1" t="n">
        <v>44230</v>
      </c>
      <c r="C5149" s="1" t="n">
        <v>45586</v>
      </c>
      <c r="D5149" t="inlineStr">
        <is>
          <t>VÄSTRA GÖTALANDS LÄN</t>
        </is>
      </c>
      <c r="E5149" t="inlineStr">
        <is>
          <t>DALS-ED</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5588-2021</t>
        </is>
      </c>
      <c r="B5150" s="1" t="n">
        <v>44230</v>
      </c>
      <c r="C5150" s="1" t="n">
        <v>45586</v>
      </c>
      <c r="D5150" t="inlineStr">
        <is>
          <t>VÄSTRA GÖTALANDS LÄN</t>
        </is>
      </c>
      <c r="E5150" t="inlineStr">
        <is>
          <t>SKARA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5668-2021</t>
        </is>
      </c>
      <c r="B5151" s="1" t="n">
        <v>44230</v>
      </c>
      <c r="C5151" s="1" t="n">
        <v>45586</v>
      </c>
      <c r="D5151" t="inlineStr">
        <is>
          <t>VÄSTRA GÖTALANDS LÄN</t>
        </is>
      </c>
      <c r="E5151" t="inlineStr">
        <is>
          <t>TIDAHOLM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5681-2021</t>
        </is>
      </c>
      <c r="B5152" s="1" t="n">
        <v>44230</v>
      </c>
      <c r="C5152" s="1" t="n">
        <v>45586</v>
      </c>
      <c r="D5152" t="inlineStr">
        <is>
          <t>VÄSTRA GÖTALANDS LÄN</t>
        </is>
      </c>
      <c r="E5152" t="inlineStr">
        <is>
          <t>BOLLEBYGD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5698-2021</t>
        </is>
      </c>
      <c r="B5153" s="1" t="n">
        <v>44230</v>
      </c>
      <c r="C5153" s="1" t="n">
        <v>45586</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5486-2021</t>
        </is>
      </c>
      <c r="B5154" s="1" t="n">
        <v>44230</v>
      </c>
      <c r="C5154" s="1" t="n">
        <v>45586</v>
      </c>
      <c r="D5154" t="inlineStr">
        <is>
          <t>VÄSTRA GÖTALANDS LÄN</t>
        </is>
      </c>
      <c r="E5154" t="inlineStr">
        <is>
          <t>TRANEMO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5483-2021</t>
        </is>
      </c>
      <c r="B5155" s="1" t="n">
        <v>44230</v>
      </c>
      <c r="C5155" s="1" t="n">
        <v>45586</v>
      </c>
      <c r="D5155" t="inlineStr">
        <is>
          <t>VÄSTRA GÖTALANDS LÄN</t>
        </is>
      </c>
      <c r="E5155" t="inlineStr">
        <is>
          <t>UDDEVALLA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5633-2021</t>
        </is>
      </c>
      <c r="B5156" s="1" t="n">
        <v>44230</v>
      </c>
      <c r="C5156" s="1" t="n">
        <v>45586</v>
      </c>
      <c r="D5156" t="inlineStr">
        <is>
          <t>VÄSTRA GÖTALANDS LÄN</t>
        </is>
      </c>
      <c r="E5156" t="inlineStr">
        <is>
          <t>BOLLEBYGD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5699-2021</t>
        </is>
      </c>
      <c r="B5157" s="1" t="n">
        <v>44230</v>
      </c>
      <c r="C5157" s="1" t="n">
        <v>45586</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5530-2021</t>
        </is>
      </c>
      <c r="B5158" s="1" t="n">
        <v>44230</v>
      </c>
      <c r="C5158" s="1" t="n">
        <v>45586</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5766-2021</t>
        </is>
      </c>
      <c r="B5159" s="1" t="n">
        <v>44230</v>
      </c>
      <c r="C5159" s="1" t="n">
        <v>45586</v>
      </c>
      <c r="D5159" t="inlineStr">
        <is>
          <t>VÄSTRA GÖTALANDS LÄN</t>
        </is>
      </c>
      <c r="E5159" t="inlineStr">
        <is>
          <t>DALS-ED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5786-2021</t>
        </is>
      </c>
      <c r="B5160" s="1" t="n">
        <v>44230</v>
      </c>
      <c r="C5160" s="1" t="n">
        <v>45586</v>
      </c>
      <c r="D5160" t="inlineStr">
        <is>
          <t>VÄSTRA GÖTALANDS LÄN</t>
        </is>
      </c>
      <c r="E5160" t="inlineStr">
        <is>
          <t>MARK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5755-2021</t>
        </is>
      </c>
      <c r="B5161" s="1" t="n">
        <v>44230</v>
      </c>
      <c r="C5161" s="1" t="n">
        <v>45586</v>
      </c>
      <c r="D5161" t="inlineStr">
        <is>
          <t>VÄSTRA GÖTALANDS LÄN</t>
        </is>
      </c>
      <c r="E5161" t="inlineStr">
        <is>
          <t>VARA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5833-2021</t>
        </is>
      </c>
      <c r="B5162" s="1" t="n">
        <v>44231</v>
      </c>
      <c r="C5162" s="1" t="n">
        <v>45586</v>
      </c>
      <c r="D5162" t="inlineStr">
        <is>
          <t>VÄSTRA GÖTALANDS LÄN</t>
        </is>
      </c>
      <c r="E5162" t="inlineStr">
        <is>
          <t>GÖTENE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5847-2021</t>
        </is>
      </c>
      <c r="B5163" s="1" t="n">
        <v>44231</v>
      </c>
      <c r="C5163" s="1" t="n">
        <v>45586</v>
      </c>
      <c r="D5163" t="inlineStr">
        <is>
          <t>VÄSTRA GÖTALANDS LÄN</t>
        </is>
      </c>
      <c r="E5163" t="inlineStr">
        <is>
          <t>FÄRGELANDA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5873-2021</t>
        </is>
      </c>
      <c r="B5164" s="1" t="n">
        <v>44231</v>
      </c>
      <c r="C5164" s="1" t="n">
        <v>45586</v>
      </c>
      <c r="D5164" t="inlineStr">
        <is>
          <t>VÄSTRA GÖTALANDS LÄN</t>
        </is>
      </c>
      <c r="E5164" t="inlineStr">
        <is>
          <t>TIBRO</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5959-2021</t>
        </is>
      </c>
      <c r="B5165" s="1" t="n">
        <v>44231</v>
      </c>
      <c r="C5165" s="1" t="n">
        <v>45586</v>
      </c>
      <c r="D5165" t="inlineStr">
        <is>
          <t>VÄSTRA GÖTALANDS LÄN</t>
        </is>
      </c>
      <c r="E5165" t="inlineStr">
        <is>
          <t>SKARA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5964-2021</t>
        </is>
      </c>
      <c r="B5166" s="1" t="n">
        <v>44231</v>
      </c>
      <c r="C5166" s="1" t="n">
        <v>45586</v>
      </c>
      <c r="D5166" t="inlineStr">
        <is>
          <t>VÄSTRA GÖTALANDS LÄN</t>
        </is>
      </c>
      <c r="E5166" t="inlineStr">
        <is>
          <t>ÅMÅL</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6056-2021</t>
        </is>
      </c>
      <c r="B5167" s="1" t="n">
        <v>44231</v>
      </c>
      <c r="C5167" s="1" t="n">
        <v>45586</v>
      </c>
      <c r="D5167" t="inlineStr">
        <is>
          <t>VÄSTRA GÖTALANDS LÄN</t>
        </is>
      </c>
      <c r="E5167" t="inlineStr">
        <is>
          <t>VÄNERSBORG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6043-2021</t>
        </is>
      </c>
      <c r="B5168" s="1" t="n">
        <v>44232</v>
      </c>
      <c r="C5168" s="1" t="n">
        <v>45586</v>
      </c>
      <c r="D5168" t="inlineStr">
        <is>
          <t>VÄSTRA GÖTALANDS LÄN</t>
        </is>
      </c>
      <c r="E5168" t="inlineStr">
        <is>
          <t>TANUM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6113-2021</t>
        </is>
      </c>
      <c r="B5169" s="1" t="n">
        <v>44232</v>
      </c>
      <c r="C5169" s="1" t="n">
        <v>45586</v>
      </c>
      <c r="D5169" t="inlineStr">
        <is>
          <t>VÄSTRA GÖTALANDS LÄN</t>
        </is>
      </c>
      <c r="E5169" t="inlineStr">
        <is>
          <t>DALS-ED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6081-2021</t>
        </is>
      </c>
      <c r="B5170" s="1" t="n">
        <v>44232</v>
      </c>
      <c r="C5170" s="1" t="n">
        <v>45586</v>
      </c>
      <c r="D5170" t="inlineStr">
        <is>
          <t>VÄSTRA GÖTALANDS LÄN</t>
        </is>
      </c>
      <c r="E5170" t="inlineStr">
        <is>
          <t>BORÅS</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6193-2021</t>
        </is>
      </c>
      <c r="B5171" s="1" t="n">
        <v>44234</v>
      </c>
      <c r="C5171" s="1" t="n">
        <v>45586</v>
      </c>
      <c r="D5171" t="inlineStr">
        <is>
          <t>VÄSTRA GÖTALANDS LÄN</t>
        </is>
      </c>
      <c r="E5171" t="inlineStr">
        <is>
          <t>LILLA EDET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6200-2021</t>
        </is>
      </c>
      <c r="B5172" s="1" t="n">
        <v>44234</v>
      </c>
      <c r="C5172" s="1" t="n">
        <v>45586</v>
      </c>
      <c r="D5172" t="inlineStr">
        <is>
          <t>VÄSTRA GÖTALANDS LÄN</t>
        </is>
      </c>
      <c r="E5172" t="inlineStr">
        <is>
          <t>BORÅS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6246-2021</t>
        </is>
      </c>
      <c r="B5173" s="1" t="n">
        <v>44235</v>
      </c>
      <c r="C5173" s="1" t="n">
        <v>45586</v>
      </c>
      <c r="D5173" t="inlineStr">
        <is>
          <t>VÄSTRA GÖTALANDS LÄN</t>
        </is>
      </c>
      <c r="E5173" t="inlineStr">
        <is>
          <t>BENGTSFORS</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6391-2021</t>
        </is>
      </c>
      <c r="B5174" s="1" t="n">
        <v>44235</v>
      </c>
      <c r="C5174" s="1" t="n">
        <v>45586</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6402-2021</t>
        </is>
      </c>
      <c r="B5175" s="1" t="n">
        <v>44235</v>
      </c>
      <c r="C5175" s="1" t="n">
        <v>45586</v>
      </c>
      <c r="D5175" t="inlineStr">
        <is>
          <t>VÄSTRA GÖTALANDS LÄN</t>
        </is>
      </c>
      <c r="E5175" t="inlineStr">
        <is>
          <t>TROLLHÄTTAN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6469-2021</t>
        </is>
      </c>
      <c r="B5176" s="1" t="n">
        <v>44235</v>
      </c>
      <c r="C5176" s="1" t="n">
        <v>45586</v>
      </c>
      <c r="D5176" t="inlineStr">
        <is>
          <t>VÄSTRA GÖTALANDS LÄN</t>
        </is>
      </c>
      <c r="E5176" t="inlineStr">
        <is>
          <t>VÄNERSBORG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6287-2021</t>
        </is>
      </c>
      <c r="B5177" s="1" t="n">
        <v>44235</v>
      </c>
      <c r="C5177" s="1" t="n">
        <v>45586</v>
      </c>
      <c r="D5177" t="inlineStr">
        <is>
          <t>VÄSTRA GÖTALANDS LÄN</t>
        </is>
      </c>
      <c r="E5177" t="inlineStr">
        <is>
          <t>HJO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6313-2021</t>
        </is>
      </c>
      <c r="B5178" s="1" t="n">
        <v>44235</v>
      </c>
      <c r="C5178" s="1" t="n">
        <v>45586</v>
      </c>
      <c r="D5178" t="inlineStr">
        <is>
          <t>VÄSTRA GÖTALANDS LÄN</t>
        </is>
      </c>
      <c r="E5178" t="inlineStr">
        <is>
          <t>FÄRGELANDA</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6380-2021</t>
        </is>
      </c>
      <c r="B5179" s="1" t="n">
        <v>44235</v>
      </c>
      <c r="C5179" s="1" t="n">
        <v>45586</v>
      </c>
      <c r="D5179" t="inlineStr">
        <is>
          <t>VÄSTRA GÖTALANDS LÄN</t>
        </is>
      </c>
      <c r="E5179" t="inlineStr">
        <is>
          <t>VARA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6443-2021</t>
        </is>
      </c>
      <c r="B5180" s="1" t="n">
        <v>44235</v>
      </c>
      <c r="C5180" s="1" t="n">
        <v>45586</v>
      </c>
      <c r="D5180" t="inlineStr">
        <is>
          <t>VÄSTRA GÖTALANDS LÄN</t>
        </is>
      </c>
      <c r="E5180" t="inlineStr">
        <is>
          <t>BORÅS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6477-2021</t>
        </is>
      </c>
      <c r="B5181" s="1" t="n">
        <v>44235</v>
      </c>
      <c r="C5181" s="1" t="n">
        <v>45586</v>
      </c>
      <c r="D5181" t="inlineStr">
        <is>
          <t>VÄSTRA GÖTALANDS LÄN</t>
        </is>
      </c>
      <c r="E5181" t="inlineStr">
        <is>
          <t>VÄNERSBORG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6496-2021</t>
        </is>
      </c>
      <c r="B5182" s="1" t="n">
        <v>44235</v>
      </c>
      <c r="C5182" s="1" t="n">
        <v>45586</v>
      </c>
      <c r="D5182" t="inlineStr">
        <is>
          <t>VÄSTRA GÖTALANDS LÄN</t>
        </is>
      </c>
      <c r="E5182" t="inlineStr">
        <is>
          <t>SKÖVDE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6613-2021</t>
        </is>
      </c>
      <c r="B5183" s="1" t="n">
        <v>44236</v>
      </c>
      <c r="C5183" s="1" t="n">
        <v>45586</v>
      </c>
      <c r="D5183" t="inlineStr">
        <is>
          <t>VÄSTRA GÖTALANDS LÄN</t>
        </is>
      </c>
      <c r="E5183" t="inlineStr">
        <is>
          <t>ORUST</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6550-2021</t>
        </is>
      </c>
      <c r="B5184" s="1" t="n">
        <v>44236</v>
      </c>
      <c r="C5184" s="1" t="n">
        <v>45586</v>
      </c>
      <c r="D5184" t="inlineStr">
        <is>
          <t>VÄSTRA GÖTALANDS LÄN</t>
        </is>
      </c>
      <c r="E5184" t="inlineStr">
        <is>
          <t>VÄNERSBORG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6628-2021</t>
        </is>
      </c>
      <c r="B5185" s="1" t="n">
        <v>44236</v>
      </c>
      <c r="C5185" s="1" t="n">
        <v>45586</v>
      </c>
      <c r="D5185" t="inlineStr">
        <is>
          <t>VÄSTRA GÖTALANDS LÄN</t>
        </is>
      </c>
      <c r="E5185" t="inlineStr">
        <is>
          <t>HERRLJUNGA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6675-2021</t>
        </is>
      </c>
      <c r="B5186" s="1" t="n">
        <v>44236</v>
      </c>
      <c r="C5186" s="1" t="n">
        <v>45586</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6690-2021</t>
        </is>
      </c>
      <c r="B5187" s="1" t="n">
        <v>44236</v>
      </c>
      <c r="C5187" s="1" t="n">
        <v>45586</v>
      </c>
      <c r="D5187" t="inlineStr">
        <is>
          <t>VÄSTRA GÖTALANDS LÄN</t>
        </is>
      </c>
      <c r="E5187" t="inlineStr">
        <is>
          <t>DALS-ED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6644-2021</t>
        </is>
      </c>
      <c r="B5188" s="1" t="n">
        <v>44236</v>
      </c>
      <c r="C5188" s="1" t="n">
        <v>45586</v>
      </c>
      <c r="D5188" t="inlineStr">
        <is>
          <t>VÄSTRA GÖTALANDS LÄN</t>
        </is>
      </c>
      <c r="E5188" t="inlineStr">
        <is>
          <t>MARK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6603-2021</t>
        </is>
      </c>
      <c r="B5189" s="1" t="n">
        <v>44236</v>
      </c>
      <c r="C5189" s="1" t="n">
        <v>45586</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6625-2021</t>
        </is>
      </c>
      <c r="B5190" s="1" t="n">
        <v>44236</v>
      </c>
      <c r="C5190" s="1" t="n">
        <v>45586</v>
      </c>
      <c r="D5190" t="inlineStr">
        <is>
          <t>VÄSTRA GÖTALANDS LÄN</t>
        </is>
      </c>
      <c r="E5190" t="inlineStr">
        <is>
          <t>HERRLJUNGA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6716-2021</t>
        </is>
      </c>
      <c r="B5191" s="1" t="n">
        <v>44236</v>
      </c>
      <c r="C5191" s="1" t="n">
        <v>45586</v>
      </c>
      <c r="D5191" t="inlineStr">
        <is>
          <t>VÄSTRA GÖTALANDS LÄN</t>
        </is>
      </c>
      <c r="E5191" t="inlineStr">
        <is>
          <t>VARA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6731-2021</t>
        </is>
      </c>
      <c r="B5192" s="1" t="n">
        <v>44236</v>
      </c>
      <c r="C5192" s="1" t="n">
        <v>45586</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6668-2021</t>
        </is>
      </c>
      <c r="B5193" s="1" t="n">
        <v>44236</v>
      </c>
      <c r="C5193" s="1" t="n">
        <v>45586</v>
      </c>
      <c r="D5193" t="inlineStr">
        <is>
          <t>VÄSTRA GÖTALANDS LÄN</t>
        </is>
      </c>
      <c r="E5193" t="inlineStr">
        <is>
          <t>DALS-ED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6674-2021</t>
        </is>
      </c>
      <c r="B5194" s="1" t="n">
        <v>44236</v>
      </c>
      <c r="C5194" s="1" t="n">
        <v>45586</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6743-2021</t>
        </is>
      </c>
      <c r="B5195" s="1" t="n">
        <v>44236</v>
      </c>
      <c r="C5195" s="1" t="n">
        <v>45586</v>
      </c>
      <c r="D5195" t="inlineStr">
        <is>
          <t>VÄSTRA GÖTALANDS LÄN</t>
        </is>
      </c>
      <c r="E5195" t="inlineStr">
        <is>
          <t>BORÅS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6766-2021</t>
        </is>
      </c>
      <c r="B5196" s="1" t="n">
        <v>44236</v>
      </c>
      <c r="C5196" s="1" t="n">
        <v>45586</v>
      </c>
      <c r="D5196" t="inlineStr">
        <is>
          <t>VÄSTRA GÖTALANDS LÄN</t>
        </is>
      </c>
      <c r="E5196" t="inlineStr">
        <is>
          <t>VÅRGÅRDA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6794-2021</t>
        </is>
      </c>
      <c r="B5197" s="1" t="n">
        <v>44236</v>
      </c>
      <c r="C5197" s="1" t="n">
        <v>45586</v>
      </c>
      <c r="D5197" t="inlineStr">
        <is>
          <t>VÄSTRA GÖTALANDS LÄN</t>
        </is>
      </c>
      <c r="E5197" t="inlineStr">
        <is>
          <t>VÅRGÅRDA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6829-2021</t>
        </is>
      </c>
      <c r="B5198" s="1" t="n">
        <v>44237</v>
      </c>
      <c r="C5198" s="1" t="n">
        <v>45586</v>
      </c>
      <c r="D5198" t="inlineStr">
        <is>
          <t>VÄSTRA GÖTALANDS LÄN</t>
        </is>
      </c>
      <c r="E5198" t="inlineStr">
        <is>
          <t>DALS-ED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6899-2021</t>
        </is>
      </c>
      <c r="B5199" s="1" t="n">
        <v>44237</v>
      </c>
      <c r="C5199" s="1" t="n">
        <v>45586</v>
      </c>
      <c r="D5199" t="inlineStr">
        <is>
          <t>VÄSTRA GÖTALANDS LÄN</t>
        </is>
      </c>
      <c r="E5199" t="inlineStr">
        <is>
          <t>MUNKEDAL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7055-2021</t>
        </is>
      </c>
      <c r="B5200" s="1" t="n">
        <v>44237</v>
      </c>
      <c r="C5200" s="1" t="n">
        <v>45586</v>
      </c>
      <c r="D5200" t="inlineStr">
        <is>
          <t>VÄSTRA GÖTALANDS LÄN</t>
        </is>
      </c>
      <c r="E5200" t="inlineStr">
        <is>
          <t>ULRICEHAMN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6979-2021</t>
        </is>
      </c>
      <c r="B5201" s="1" t="n">
        <v>44237</v>
      </c>
      <c r="C5201" s="1" t="n">
        <v>45586</v>
      </c>
      <c r="D5201" t="inlineStr">
        <is>
          <t>VÄSTRA GÖTALANDS LÄN</t>
        </is>
      </c>
      <c r="E5201" t="inlineStr">
        <is>
          <t>BENGTSFORS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6993-2021</t>
        </is>
      </c>
      <c r="B5202" s="1" t="n">
        <v>44237</v>
      </c>
      <c r="C5202" s="1" t="n">
        <v>45586</v>
      </c>
      <c r="D5202" t="inlineStr">
        <is>
          <t>VÄSTRA GÖTALANDS LÄN</t>
        </is>
      </c>
      <c r="E5202" t="inlineStr">
        <is>
          <t>GÖTENE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6990-2021</t>
        </is>
      </c>
      <c r="B5203" s="1" t="n">
        <v>44237</v>
      </c>
      <c r="C5203" s="1" t="n">
        <v>45586</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7064-2021</t>
        </is>
      </c>
      <c r="B5204" s="1" t="n">
        <v>44237</v>
      </c>
      <c r="C5204" s="1" t="n">
        <v>45586</v>
      </c>
      <c r="D5204" t="inlineStr">
        <is>
          <t>VÄSTRA GÖTALANDS LÄN</t>
        </is>
      </c>
      <c r="E5204" t="inlineStr">
        <is>
          <t>VARA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6826-2021</t>
        </is>
      </c>
      <c r="B5205" s="1" t="n">
        <v>44237</v>
      </c>
      <c r="C5205" s="1" t="n">
        <v>45586</v>
      </c>
      <c r="D5205" t="inlineStr">
        <is>
          <t>VÄSTRA GÖTALANDS LÄN</t>
        </is>
      </c>
      <c r="E5205" t="inlineStr">
        <is>
          <t>DALS-ED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6991-2021</t>
        </is>
      </c>
      <c r="B5206" s="1" t="n">
        <v>44237</v>
      </c>
      <c r="C5206" s="1" t="n">
        <v>45586</v>
      </c>
      <c r="D5206" t="inlineStr">
        <is>
          <t>VÄSTRA GÖTALANDS LÄN</t>
        </is>
      </c>
      <c r="E5206" t="inlineStr">
        <is>
          <t>LIDKÖPING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7103-2021</t>
        </is>
      </c>
      <c r="B5207" s="1" t="n">
        <v>44238</v>
      </c>
      <c r="C5207" s="1" t="n">
        <v>45586</v>
      </c>
      <c r="D5207" t="inlineStr">
        <is>
          <t>VÄSTRA GÖTALANDS LÄN</t>
        </is>
      </c>
      <c r="E5207" t="inlineStr">
        <is>
          <t>TRANEMO</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7235-2021</t>
        </is>
      </c>
      <c r="B5208" s="1" t="n">
        <v>44238</v>
      </c>
      <c r="C5208" s="1" t="n">
        <v>45586</v>
      </c>
      <c r="D5208" t="inlineStr">
        <is>
          <t>VÄSTRA GÖTALANDS LÄN</t>
        </is>
      </c>
      <c r="E5208" t="inlineStr">
        <is>
          <t>ULRICEHAMN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7308-2021</t>
        </is>
      </c>
      <c r="B5209" s="1" t="n">
        <v>44238</v>
      </c>
      <c r="C5209" s="1" t="n">
        <v>45586</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7290-2021</t>
        </is>
      </c>
      <c r="B5210" s="1" t="n">
        <v>44238</v>
      </c>
      <c r="C5210" s="1" t="n">
        <v>45586</v>
      </c>
      <c r="D5210" t="inlineStr">
        <is>
          <t>VÄSTRA GÖTALANDS LÄN</t>
        </is>
      </c>
      <c r="E5210" t="inlineStr">
        <is>
          <t>TRANEMO</t>
        </is>
      </c>
      <c r="F5210" t="inlineStr">
        <is>
          <t>Kyrkan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7157-2021</t>
        </is>
      </c>
      <c r="B5211" s="1" t="n">
        <v>44238</v>
      </c>
      <c r="C5211" s="1" t="n">
        <v>45586</v>
      </c>
      <c r="D5211" t="inlineStr">
        <is>
          <t>VÄSTRA GÖTALANDS LÄN</t>
        </is>
      </c>
      <c r="E5211" t="inlineStr">
        <is>
          <t>MUNKEDAL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7270-2021</t>
        </is>
      </c>
      <c r="B5212" s="1" t="n">
        <v>44238</v>
      </c>
      <c r="C5212" s="1" t="n">
        <v>45586</v>
      </c>
      <c r="D5212" t="inlineStr">
        <is>
          <t>VÄSTRA GÖTALANDS LÄN</t>
        </is>
      </c>
      <c r="E5212" t="inlineStr">
        <is>
          <t>ULRICEHAMN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7288-2021</t>
        </is>
      </c>
      <c r="B5213" s="1" t="n">
        <v>44238</v>
      </c>
      <c r="C5213" s="1" t="n">
        <v>45586</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7309-2021</t>
        </is>
      </c>
      <c r="B5214" s="1" t="n">
        <v>44238</v>
      </c>
      <c r="C5214" s="1" t="n">
        <v>45586</v>
      </c>
      <c r="D5214" t="inlineStr">
        <is>
          <t>VÄSTRA GÖTALANDS LÄN</t>
        </is>
      </c>
      <c r="E5214" t="inlineStr">
        <is>
          <t>MARK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7439-2021</t>
        </is>
      </c>
      <c r="B5215" s="1" t="n">
        <v>44239</v>
      </c>
      <c r="C5215" s="1" t="n">
        <v>45586</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7459-2021</t>
        </is>
      </c>
      <c r="B5216" s="1" t="n">
        <v>44239</v>
      </c>
      <c r="C5216" s="1" t="n">
        <v>45586</v>
      </c>
      <c r="D5216" t="inlineStr">
        <is>
          <t>VÄSTRA GÖTALANDS LÄN</t>
        </is>
      </c>
      <c r="E5216" t="inlineStr">
        <is>
          <t>UDDEVALLA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7383-2021</t>
        </is>
      </c>
      <c r="B5217" s="1" t="n">
        <v>44239</v>
      </c>
      <c r="C5217" s="1" t="n">
        <v>45586</v>
      </c>
      <c r="D5217" t="inlineStr">
        <is>
          <t>VÄSTRA GÖTALANDS LÄN</t>
        </is>
      </c>
      <c r="E5217" t="inlineStr">
        <is>
          <t>TROLLHÄTTAN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7398-2021</t>
        </is>
      </c>
      <c r="B5218" s="1" t="n">
        <v>44239</v>
      </c>
      <c r="C5218" s="1" t="n">
        <v>45586</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7433-2021</t>
        </is>
      </c>
      <c r="B5219" s="1" t="n">
        <v>44239</v>
      </c>
      <c r="C5219" s="1" t="n">
        <v>45586</v>
      </c>
      <c r="D5219" t="inlineStr">
        <is>
          <t>VÄSTRA GÖTALANDS LÄN</t>
        </is>
      </c>
      <c r="E5219" t="inlineStr">
        <is>
          <t>FÄRGELANDA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7402-2021</t>
        </is>
      </c>
      <c r="B5220" s="1" t="n">
        <v>44239</v>
      </c>
      <c r="C5220" s="1" t="n">
        <v>45586</v>
      </c>
      <c r="D5220" t="inlineStr">
        <is>
          <t>VÄSTRA GÖTALANDS LÄN</t>
        </is>
      </c>
      <c r="E5220" t="inlineStr">
        <is>
          <t>SKÖVDE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7422-2021</t>
        </is>
      </c>
      <c r="B5221" s="1" t="n">
        <v>44239</v>
      </c>
      <c r="C5221" s="1" t="n">
        <v>45586</v>
      </c>
      <c r="D5221" t="inlineStr">
        <is>
          <t>VÄSTRA GÖTALANDS LÄN</t>
        </is>
      </c>
      <c r="E5221" t="inlineStr">
        <is>
          <t>MELLERUD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7559-2021</t>
        </is>
      </c>
      <c r="B5222" s="1" t="n">
        <v>44239</v>
      </c>
      <c r="C5222" s="1" t="n">
        <v>45586</v>
      </c>
      <c r="D5222" t="inlineStr">
        <is>
          <t>VÄSTRA GÖTALANDS LÄN</t>
        </is>
      </c>
      <c r="E5222" t="inlineStr">
        <is>
          <t>LIDKÖPING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7590-2021</t>
        </is>
      </c>
      <c r="B5223" s="1" t="n">
        <v>44241</v>
      </c>
      <c r="C5223" s="1" t="n">
        <v>45586</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7627-2021</t>
        </is>
      </c>
      <c r="B5224" s="1" t="n">
        <v>44242</v>
      </c>
      <c r="C5224" s="1" t="n">
        <v>45586</v>
      </c>
      <c r="D5224" t="inlineStr">
        <is>
          <t>VÄSTRA GÖTALANDS LÄN</t>
        </is>
      </c>
      <c r="E5224" t="inlineStr">
        <is>
          <t>ÅMÅL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7641-2021</t>
        </is>
      </c>
      <c r="B5225" s="1" t="n">
        <v>44242</v>
      </c>
      <c r="C5225" s="1" t="n">
        <v>45586</v>
      </c>
      <c r="D5225" t="inlineStr">
        <is>
          <t>VÄSTRA GÖTALANDS LÄN</t>
        </is>
      </c>
      <c r="E5225" t="inlineStr">
        <is>
          <t>SVENLJUNGA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7652-2021</t>
        </is>
      </c>
      <c r="B5226" s="1" t="n">
        <v>44242</v>
      </c>
      <c r="C5226" s="1" t="n">
        <v>45586</v>
      </c>
      <c r="D5226" t="inlineStr">
        <is>
          <t>VÄSTRA GÖTALANDS LÄN</t>
        </is>
      </c>
      <c r="E5226" t="inlineStr">
        <is>
          <t>ALINGSÅS</t>
        </is>
      </c>
      <c r="G5226" t="n">
        <v>24.7</v>
      </c>
      <c r="H5226" t="n">
        <v>0</v>
      </c>
      <c r="I5226" t="n">
        <v>0</v>
      </c>
      <c r="J5226" t="n">
        <v>0</v>
      </c>
      <c r="K5226" t="n">
        <v>0</v>
      </c>
      <c r="L5226" t="n">
        <v>0</v>
      </c>
      <c r="M5226" t="n">
        <v>0</v>
      </c>
      <c r="N5226" t="n">
        <v>0</v>
      </c>
      <c r="O5226" t="n">
        <v>0</v>
      </c>
      <c r="P5226" t="n">
        <v>0</v>
      </c>
      <c r="Q5226" t="n">
        <v>0</v>
      </c>
      <c r="R5226" s="2" t="inlineStr"/>
    </row>
    <row r="5227" ht="15" customHeight="1">
      <c r="A5227" t="inlineStr">
        <is>
          <t>A 7769-2021</t>
        </is>
      </c>
      <c r="B5227" s="1" t="n">
        <v>44242</v>
      </c>
      <c r="C5227" s="1" t="n">
        <v>45586</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7773-2021</t>
        </is>
      </c>
      <c r="B5228" s="1" t="n">
        <v>44242</v>
      </c>
      <c r="C5228" s="1" t="n">
        <v>45586</v>
      </c>
      <c r="D5228" t="inlineStr">
        <is>
          <t>VÄSTRA GÖTALANDS LÄN</t>
        </is>
      </c>
      <c r="E5228" t="inlineStr">
        <is>
          <t>HERRLJUNGA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7792-2021</t>
        </is>
      </c>
      <c r="B5229" s="1" t="n">
        <v>44242</v>
      </c>
      <c r="C5229" s="1" t="n">
        <v>45586</v>
      </c>
      <c r="D5229" t="inlineStr">
        <is>
          <t>VÄSTRA GÖTALANDS LÄN</t>
        </is>
      </c>
      <c r="E5229" t="inlineStr">
        <is>
          <t>STRÖMSTAD</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7802-2021</t>
        </is>
      </c>
      <c r="B5230" s="1" t="n">
        <v>44242</v>
      </c>
      <c r="C5230" s="1" t="n">
        <v>45586</v>
      </c>
      <c r="D5230" t="inlineStr">
        <is>
          <t>VÄSTRA GÖTALANDS LÄN</t>
        </is>
      </c>
      <c r="E5230" t="inlineStr">
        <is>
          <t>FÄRGELANDA</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7810-2021</t>
        </is>
      </c>
      <c r="B5231" s="1" t="n">
        <v>44242</v>
      </c>
      <c r="C5231" s="1" t="n">
        <v>45586</v>
      </c>
      <c r="D5231" t="inlineStr">
        <is>
          <t>VÄSTRA GÖTALANDS LÄN</t>
        </is>
      </c>
      <c r="E5231" t="inlineStr">
        <is>
          <t>FÄRGELANDA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7806-2021</t>
        </is>
      </c>
      <c r="B5232" s="1" t="n">
        <v>44242</v>
      </c>
      <c r="C5232" s="1" t="n">
        <v>45586</v>
      </c>
      <c r="D5232" t="inlineStr">
        <is>
          <t>VÄSTRA GÖTALANDS LÄN</t>
        </is>
      </c>
      <c r="E5232" t="inlineStr">
        <is>
          <t>FÄRGELANDA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7824-2021</t>
        </is>
      </c>
      <c r="B5233" s="1" t="n">
        <v>44242</v>
      </c>
      <c r="C5233" s="1" t="n">
        <v>45586</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7819-2021</t>
        </is>
      </c>
      <c r="B5234" s="1" t="n">
        <v>44242</v>
      </c>
      <c r="C5234" s="1" t="n">
        <v>45586</v>
      </c>
      <c r="D5234" t="inlineStr">
        <is>
          <t>VÄSTRA GÖTALANDS LÄN</t>
        </is>
      </c>
      <c r="E5234" t="inlineStr">
        <is>
          <t>FÄRGELANDA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7832-2021</t>
        </is>
      </c>
      <c r="B5235" s="1" t="n">
        <v>44242</v>
      </c>
      <c r="C5235" s="1" t="n">
        <v>45586</v>
      </c>
      <c r="D5235" t="inlineStr">
        <is>
          <t>VÄSTRA GÖTALANDS LÄN</t>
        </is>
      </c>
      <c r="E5235" t="inlineStr">
        <is>
          <t>LILLA EDET</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7849-2021</t>
        </is>
      </c>
      <c r="B5236" s="1" t="n">
        <v>44242</v>
      </c>
      <c r="C5236" s="1" t="n">
        <v>45586</v>
      </c>
      <c r="D5236" t="inlineStr">
        <is>
          <t>VÄSTRA GÖTALANDS LÄN</t>
        </is>
      </c>
      <c r="E5236" t="inlineStr">
        <is>
          <t>BENGTSFORS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7748-2021</t>
        </is>
      </c>
      <c r="B5237" s="1" t="n">
        <v>44242</v>
      </c>
      <c r="C5237" s="1" t="n">
        <v>45586</v>
      </c>
      <c r="D5237" t="inlineStr">
        <is>
          <t>VÄSTRA GÖTALANDS LÄN</t>
        </is>
      </c>
      <c r="E5237" t="inlineStr">
        <is>
          <t>TANUM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8093-2021</t>
        </is>
      </c>
      <c r="B5238" s="1" t="n">
        <v>44242</v>
      </c>
      <c r="C5238" s="1" t="n">
        <v>45586</v>
      </c>
      <c r="D5238" t="inlineStr">
        <is>
          <t>VÄSTRA GÖTALANDS LÄN</t>
        </is>
      </c>
      <c r="E5238" t="inlineStr">
        <is>
          <t>MUNKEDAL</t>
        </is>
      </c>
      <c r="F5238" t="inlineStr">
        <is>
          <t>Övriga Aktiebolag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8001-2021</t>
        </is>
      </c>
      <c r="B5239" s="1" t="n">
        <v>44243</v>
      </c>
      <c r="C5239" s="1" t="n">
        <v>45586</v>
      </c>
      <c r="D5239" t="inlineStr">
        <is>
          <t>VÄSTRA GÖTALANDS LÄN</t>
        </is>
      </c>
      <c r="E5239" t="inlineStr">
        <is>
          <t>HÄRRYDA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8124-2021</t>
        </is>
      </c>
      <c r="B5240" s="1" t="n">
        <v>44243</v>
      </c>
      <c r="C5240" s="1" t="n">
        <v>45586</v>
      </c>
      <c r="D5240" t="inlineStr">
        <is>
          <t>VÄSTRA GÖTALANDS LÄN</t>
        </is>
      </c>
      <c r="E5240" t="inlineStr">
        <is>
          <t>GÖTENE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8004-2021</t>
        </is>
      </c>
      <c r="B5241" s="1" t="n">
        <v>44243</v>
      </c>
      <c r="C5241" s="1" t="n">
        <v>45586</v>
      </c>
      <c r="D5241" t="inlineStr">
        <is>
          <t>VÄSTRA GÖTALANDS LÄN</t>
        </is>
      </c>
      <c r="E5241" t="inlineStr">
        <is>
          <t>MARIESTAD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8028-2021</t>
        </is>
      </c>
      <c r="B5242" s="1" t="n">
        <v>44243</v>
      </c>
      <c r="C5242" s="1" t="n">
        <v>45586</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7991-2021</t>
        </is>
      </c>
      <c r="B5243" s="1" t="n">
        <v>44243</v>
      </c>
      <c r="C5243" s="1" t="n">
        <v>45586</v>
      </c>
      <c r="D5243" t="inlineStr">
        <is>
          <t>VÄSTRA GÖTALANDS LÄN</t>
        </is>
      </c>
      <c r="E5243" t="inlineStr">
        <is>
          <t>ALINGSÅS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8299-2021</t>
        </is>
      </c>
      <c r="B5244" s="1" t="n">
        <v>44243</v>
      </c>
      <c r="C5244" s="1" t="n">
        <v>45586</v>
      </c>
      <c r="D5244" t="inlineStr">
        <is>
          <t>VÄSTRA GÖTALANDS LÄN</t>
        </is>
      </c>
      <c r="E5244" t="inlineStr">
        <is>
          <t>GULLSPÅNG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8053-2021</t>
        </is>
      </c>
      <c r="B5245" s="1" t="n">
        <v>44243</v>
      </c>
      <c r="C5245" s="1" t="n">
        <v>45586</v>
      </c>
      <c r="D5245" t="inlineStr">
        <is>
          <t>VÄSTRA GÖTALANDS LÄN</t>
        </is>
      </c>
      <c r="E5245" t="inlineStr">
        <is>
          <t>LIDKÖPING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8127-2021</t>
        </is>
      </c>
      <c r="B5246" s="1" t="n">
        <v>44243</v>
      </c>
      <c r="C5246" s="1" t="n">
        <v>45586</v>
      </c>
      <c r="D5246" t="inlineStr">
        <is>
          <t>VÄSTRA GÖTALANDS LÄN</t>
        </is>
      </c>
      <c r="E5246" t="inlineStr">
        <is>
          <t>GÖTENE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8011-2021</t>
        </is>
      </c>
      <c r="B5247" s="1" t="n">
        <v>44243</v>
      </c>
      <c r="C5247" s="1" t="n">
        <v>45586</v>
      </c>
      <c r="D5247" t="inlineStr">
        <is>
          <t>VÄSTRA GÖTALANDS LÄN</t>
        </is>
      </c>
      <c r="E5247" t="inlineStr">
        <is>
          <t>ALINGSÅS</t>
        </is>
      </c>
      <c r="F5247" t="inlineStr">
        <is>
          <t>Kyrkan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8236-2021</t>
        </is>
      </c>
      <c r="B5248" s="1" t="n">
        <v>44244</v>
      </c>
      <c r="C5248" s="1" t="n">
        <v>45586</v>
      </c>
      <c r="D5248" t="inlineStr">
        <is>
          <t>VÄSTRA GÖTALANDS LÄN</t>
        </is>
      </c>
      <c r="E5248" t="inlineStr">
        <is>
          <t>HERRLJUNGA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8372-2021</t>
        </is>
      </c>
      <c r="B5249" s="1" t="n">
        <v>44245</v>
      </c>
      <c r="C5249" s="1" t="n">
        <v>45586</v>
      </c>
      <c r="D5249" t="inlineStr">
        <is>
          <t>VÄSTRA GÖTALANDS LÄN</t>
        </is>
      </c>
      <c r="E5249" t="inlineStr">
        <is>
          <t>BORÅS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8407-2021</t>
        </is>
      </c>
      <c r="B5250" s="1" t="n">
        <v>44245</v>
      </c>
      <c r="C5250" s="1" t="n">
        <v>45586</v>
      </c>
      <c r="D5250" t="inlineStr">
        <is>
          <t>VÄSTRA GÖTALANDS LÄN</t>
        </is>
      </c>
      <c r="E5250" t="inlineStr">
        <is>
          <t>BENGTSFORS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8429-2021</t>
        </is>
      </c>
      <c r="B5251" s="1" t="n">
        <v>44245</v>
      </c>
      <c r="C5251" s="1" t="n">
        <v>45586</v>
      </c>
      <c r="D5251" t="inlineStr">
        <is>
          <t>VÄSTRA GÖTALANDS LÄN</t>
        </is>
      </c>
      <c r="E5251" t="inlineStr">
        <is>
          <t>ULRICEHAMN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8466-2021</t>
        </is>
      </c>
      <c r="B5252" s="1" t="n">
        <v>44245</v>
      </c>
      <c r="C5252" s="1" t="n">
        <v>45586</v>
      </c>
      <c r="D5252" t="inlineStr">
        <is>
          <t>VÄSTRA GÖTALANDS LÄN</t>
        </is>
      </c>
      <c r="E5252" t="inlineStr">
        <is>
          <t>SKARA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8412-2021</t>
        </is>
      </c>
      <c r="B5253" s="1" t="n">
        <v>44245</v>
      </c>
      <c r="C5253" s="1" t="n">
        <v>45586</v>
      </c>
      <c r="D5253" t="inlineStr">
        <is>
          <t>VÄSTRA GÖTALANDS LÄN</t>
        </is>
      </c>
      <c r="E5253" t="inlineStr">
        <is>
          <t>BENGTSFORS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8421-2021</t>
        </is>
      </c>
      <c r="B5254" s="1" t="n">
        <v>44245</v>
      </c>
      <c r="C5254" s="1" t="n">
        <v>45586</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8479-2021</t>
        </is>
      </c>
      <c r="B5255" s="1" t="n">
        <v>44245</v>
      </c>
      <c r="C5255" s="1" t="n">
        <v>45586</v>
      </c>
      <c r="D5255" t="inlineStr">
        <is>
          <t>VÄSTRA GÖTALANDS LÄN</t>
        </is>
      </c>
      <c r="E5255" t="inlineStr">
        <is>
          <t>ÅMÅL</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8546-2021</t>
        </is>
      </c>
      <c r="B5256" s="1" t="n">
        <v>44245</v>
      </c>
      <c r="C5256" s="1" t="n">
        <v>45586</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8663-2021</t>
        </is>
      </c>
      <c r="B5257" s="1" t="n">
        <v>44245</v>
      </c>
      <c r="C5257" s="1" t="n">
        <v>45586</v>
      </c>
      <c r="D5257" t="inlineStr">
        <is>
          <t>VÄSTRA GÖTALANDS LÄN</t>
        </is>
      </c>
      <c r="E5257" t="inlineStr">
        <is>
          <t>BENGTSFORS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8659-2021</t>
        </is>
      </c>
      <c r="B5258" s="1" t="n">
        <v>44246</v>
      </c>
      <c r="C5258" s="1" t="n">
        <v>45586</v>
      </c>
      <c r="D5258" t="inlineStr">
        <is>
          <t>VÄSTRA GÖTALANDS LÄN</t>
        </is>
      </c>
      <c r="E5258" t="inlineStr">
        <is>
          <t>HERRLJUNGA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8789-2021</t>
        </is>
      </c>
      <c r="B5259" s="1" t="n">
        <v>44246</v>
      </c>
      <c r="C5259" s="1" t="n">
        <v>45586</v>
      </c>
      <c r="D5259" t="inlineStr">
        <is>
          <t>VÄSTRA GÖTALANDS LÄN</t>
        </is>
      </c>
      <c r="E5259" t="inlineStr">
        <is>
          <t>LIDKÖPING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8712-2021</t>
        </is>
      </c>
      <c r="B5260" s="1" t="n">
        <v>44246</v>
      </c>
      <c r="C5260" s="1" t="n">
        <v>45586</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8756-2021</t>
        </is>
      </c>
      <c r="B5261" s="1" t="n">
        <v>44246</v>
      </c>
      <c r="C5261" s="1" t="n">
        <v>45586</v>
      </c>
      <c r="D5261" t="inlineStr">
        <is>
          <t>VÄSTRA GÖTALANDS LÄN</t>
        </is>
      </c>
      <c r="E5261" t="inlineStr">
        <is>
          <t>SKÖVDE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8913-2021</t>
        </is>
      </c>
      <c r="B5262" s="1" t="n">
        <v>44246</v>
      </c>
      <c r="C5262" s="1" t="n">
        <v>45586</v>
      </c>
      <c r="D5262" t="inlineStr">
        <is>
          <t>VÄSTRA GÖTALANDS LÄN</t>
        </is>
      </c>
      <c r="E5262" t="inlineStr">
        <is>
          <t>MUNKEDAL</t>
        </is>
      </c>
      <c r="F5262" t="inlineStr">
        <is>
          <t>Övriga Aktiebolag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8884-2021</t>
        </is>
      </c>
      <c r="B5263" s="1" t="n">
        <v>44247</v>
      </c>
      <c r="C5263" s="1" t="n">
        <v>45586</v>
      </c>
      <c r="D5263" t="inlineStr">
        <is>
          <t>VÄSTRA GÖTALANDS LÄN</t>
        </is>
      </c>
      <c r="E5263" t="inlineStr">
        <is>
          <t>BENGTSFORS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8923-2021</t>
        </is>
      </c>
      <c r="B5264" s="1" t="n">
        <v>44249</v>
      </c>
      <c r="C5264" s="1" t="n">
        <v>45586</v>
      </c>
      <c r="D5264" t="inlineStr">
        <is>
          <t>VÄSTRA GÖTALANDS LÄN</t>
        </is>
      </c>
      <c r="E5264" t="inlineStr">
        <is>
          <t>MARK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8988-2021</t>
        </is>
      </c>
      <c r="B5265" s="1" t="n">
        <v>44249</v>
      </c>
      <c r="C5265" s="1" t="n">
        <v>45586</v>
      </c>
      <c r="D5265" t="inlineStr">
        <is>
          <t>VÄSTRA GÖTALANDS LÄN</t>
        </is>
      </c>
      <c r="E5265" t="inlineStr">
        <is>
          <t>TANUM</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9030-2021</t>
        </is>
      </c>
      <c r="B5266" s="1" t="n">
        <v>44249</v>
      </c>
      <c r="C5266" s="1" t="n">
        <v>45586</v>
      </c>
      <c r="D5266" t="inlineStr">
        <is>
          <t>VÄSTRA GÖTALANDS LÄN</t>
        </is>
      </c>
      <c r="E5266" t="inlineStr">
        <is>
          <t>BENGTSFORS</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9099-2021</t>
        </is>
      </c>
      <c r="B5267" s="1" t="n">
        <v>44249</v>
      </c>
      <c r="C5267" s="1" t="n">
        <v>45586</v>
      </c>
      <c r="D5267" t="inlineStr">
        <is>
          <t>VÄSTRA GÖTALANDS LÄN</t>
        </is>
      </c>
      <c r="E5267" t="inlineStr">
        <is>
          <t>BENGTSFORS</t>
        </is>
      </c>
      <c r="F5267" t="inlineStr">
        <is>
          <t>Övriga Aktiebolag</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9146-2021</t>
        </is>
      </c>
      <c r="B5268" s="1" t="n">
        <v>44249</v>
      </c>
      <c r="C5268" s="1" t="n">
        <v>45586</v>
      </c>
      <c r="D5268" t="inlineStr">
        <is>
          <t>VÄSTRA GÖTALANDS LÄN</t>
        </is>
      </c>
      <c r="E5268" t="inlineStr">
        <is>
          <t>VÅRGÅRDA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9106-2021</t>
        </is>
      </c>
      <c r="B5269" s="1" t="n">
        <v>44249</v>
      </c>
      <c r="C5269" s="1" t="n">
        <v>45586</v>
      </c>
      <c r="D5269" t="inlineStr">
        <is>
          <t>VÄSTRA GÖTALANDS LÄN</t>
        </is>
      </c>
      <c r="E5269" t="inlineStr">
        <is>
          <t>TIDAHOLM</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9084-2021</t>
        </is>
      </c>
      <c r="B5270" s="1" t="n">
        <v>44249</v>
      </c>
      <c r="C5270" s="1" t="n">
        <v>45586</v>
      </c>
      <c r="D5270" t="inlineStr">
        <is>
          <t>VÄSTRA GÖTALANDS LÄN</t>
        </is>
      </c>
      <c r="E5270" t="inlineStr">
        <is>
          <t>DALS-ED</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9191-2021</t>
        </is>
      </c>
      <c r="B5271" s="1" t="n">
        <v>44250</v>
      </c>
      <c r="C5271" s="1" t="n">
        <v>45586</v>
      </c>
      <c r="D5271" t="inlineStr">
        <is>
          <t>VÄSTRA GÖTALANDS LÄN</t>
        </is>
      </c>
      <c r="E5271" t="inlineStr">
        <is>
          <t>KARLSBORG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9270-2021</t>
        </is>
      </c>
      <c r="B5272" s="1" t="n">
        <v>44250</v>
      </c>
      <c r="C5272" s="1" t="n">
        <v>45586</v>
      </c>
      <c r="D5272" t="inlineStr">
        <is>
          <t>VÄSTRA GÖTALANDS LÄN</t>
        </is>
      </c>
      <c r="E5272" t="inlineStr">
        <is>
          <t>BORÅS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9182-2021</t>
        </is>
      </c>
      <c r="B5273" s="1" t="n">
        <v>44250</v>
      </c>
      <c r="C5273" s="1" t="n">
        <v>45586</v>
      </c>
      <c r="D5273" t="inlineStr">
        <is>
          <t>VÄSTRA GÖTALANDS LÄN</t>
        </is>
      </c>
      <c r="E5273" t="inlineStr">
        <is>
          <t>ORUST</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9361-2021</t>
        </is>
      </c>
      <c r="B5274" s="1" t="n">
        <v>44250</v>
      </c>
      <c r="C5274" s="1" t="n">
        <v>45586</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9239-2021</t>
        </is>
      </c>
      <c r="B5275" s="1" t="n">
        <v>44250</v>
      </c>
      <c r="C5275" s="1" t="n">
        <v>45586</v>
      </c>
      <c r="D5275" t="inlineStr">
        <is>
          <t>VÄSTRA GÖTALANDS LÄN</t>
        </is>
      </c>
      <c r="E5275" t="inlineStr">
        <is>
          <t>SVENLJUNGA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9249-2021</t>
        </is>
      </c>
      <c r="B5276" s="1" t="n">
        <v>44250</v>
      </c>
      <c r="C5276" s="1" t="n">
        <v>45586</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9186-2021</t>
        </is>
      </c>
      <c r="B5277" s="1" t="n">
        <v>44250</v>
      </c>
      <c r="C5277" s="1" t="n">
        <v>45586</v>
      </c>
      <c r="D5277" t="inlineStr">
        <is>
          <t>VÄSTRA GÖTALANDS LÄN</t>
        </is>
      </c>
      <c r="E5277" t="inlineStr">
        <is>
          <t>GULLSPÅNG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9241-2021</t>
        </is>
      </c>
      <c r="B5278" s="1" t="n">
        <v>44250</v>
      </c>
      <c r="C5278" s="1" t="n">
        <v>45586</v>
      </c>
      <c r="D5278" t="inlineStr">
        <is>
          <t>VÄSTRA GÖTALANDS LÄN</t>
        </is>
      </c>
      <c r="E5278" t="inlineStr">
        <is>
          <t>SVENLJUNGA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9332-2021</t>
        </is>
      </c>
      <c r="B5279" s="1" t="n">
        <v>44250</v>
      </c>
      <c r="C5279" s="1" t="n">
        <v>45586</v>
      </c>
      <c r="D5279" t="inlineStr">
        <is>
          <t>VÄSTRA GÖTALANDS LÄN</t>
        </is>
      </c>
      <c r="E5279" t="inlineStr">
        <is>
          <t>HERRLJUNGA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9297-2021</t>
        </is>
      </c>
      <c r="B5280" s="1" t="n">
        <v>44250</v>
      </c>
      <c r="C5280" s="1" t="n">
        <v>45586</v>
      </c>
      <c r="D5280" t="inlineStr">
        <is>
          <t>VÄSTRA GÖTALANDS LÄN</t>
        </is>
      </c>
      <c r="E5280" t="inlineStr">
        <is>
          <t>KUNGÄLV</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9362-2021</t>
        </is>
      </c>
      <c r="B5281" s="1" t="n">
        <v>44250</v>
      </c>
      <c r="C5281" s="1" t="n">
        <v>45586</v>
      </c>
      <c r="D5281" t="inlineStr">
        <is>
          <t>VÄSTRA GÖTALANDS LÄN</t>
        </is>
      </c>
      <c r="E5281" t="inlineStr">
        <is>
          <t>TANUM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9413-2021</t>
        </is>
      </c>
      <c r="B5282" s="1" t="n">
        <v>44251</v>
      </c>
      <c r="C5282" s="1" t="n">
        <v>45586</v>
      </c>
      <c r="D5282" t="inlineStr">
        <is>
          <t>VÄSTRA GÖTALANDS LÄN</t>
        </is>
      </c>
      <c r="E5282" t="inlineStr">
        <is>
          <t>HERRLJUNGA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9577-2021</t>
        </is>
      </c>
      <c r="B5283" s="1" t="n">
        <v>44251</v>
      </c>
      <c r="C5283" s="1" t="n">
        <v>45586</v>
      </c>
      <c r="D5283" t="inlineStr">
        <is>
          <t>VÄSTRA GÖTALANDS LÄN</t>
        </is>
      </c>
      <c r="E5283" t="inlineStr">
        <is>
          <t>MUNKEDAL</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9452-2021</t>
        </is>
      </c>
      <c r="B5284" s="1" t="n">
        <v>44251</v>
      </c>
      <c r="C5284" s="1" t="n">
        <v>45586</v>
      </c>
      <c r="D5284" t="inlineStr">
        <is>
          <t>VÄSTRA GÖTALANDS LÄN</t>
        </is>
      </c>
      <c r="E5284" t="inlineStr">
        <is>
          <t>ALINGSÅS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9512-2021</t>
        </is>
      </c>
      <c r="B5285" s="1" t="n">
        <v>44251</v>
      </c>
      <c r="C5285" s="1" t="n">
        <v>45586</v>
      </c>
      <c r="D5285" t="inlineStr">
        <is>
          <t>VÄSTRA GÖTALANDS LÄN</t>
        </is>
      </c>
      <c r="E5285" t="inlineStr">
        <is>
          <t>HÄRRYDA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9557-2021</t>
        </is>
      </c>
      <c r="B5286" s="1" t="n">
        <v>44251</v>
      </c>
      <c r="C5286" s="1" t="n">
        <v>45586</v>
      </c>
      <c r="D5286" t="inlineStr">
        <is>
          <t>VÄSTRA GÖTALANDS LÄN</t>
        </is>
      </c>
      <c r="E5286" t="inlineStr">
        <is>
          <t>TRANEMO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9513-2021</t>
        </is>
      </c>
      <c r="B5287" s="1" t="n">
        <v>44251</v>
      </c>
      <c r="C5287" s="1" t="n">
        <v>45586</v>
      </c>
      <c r="D5287" t="inlineStr">
        <is>
          <t>VÄSTRA GÖTALANDS LÄN</t>
        </is>
      </c>
      <c r="E5287" t="inlineStr">
        <is>
          <t>BENGTSFORS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9541-2021</t>
        </is>
      </c>
      <c r="B5288" s="1" t="n">
        <v>44251</v>
      </c>
      <c r="C5288" s="1" t="n">
        <v>45586</v>
      </c>
      <c r="D5288" t="inlineStr">
        <is>
          <t>VÄSTRA GÖTALANDS LÄN</t>
        </is>
      </c>
      <c r="E5288" t="inlineStr">
        <is>
          <t>LILLA EDET</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9579-2021</t>
        </is>
      </c>
      <c r="B5289" s="1" t="n">
        <v>44251</v>
      </c>
      <c r="C5289" s="1" t="n">
        <v>45586</v>
      </c>
      <c r="D5289" t="inlineStr">
        <is>
          <t>VÄSTRA GÖTALANDS LÄN</t>
        </is>
      </c>
      <c r="E5289" t="inlineStr">
        <is>
          <t>VARA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9790-2021</t>
        </is>
      </c>
      <c r="B5290" s="1" t="n">
        <v>44251</v>
      </c>
      <c r="C5290" s="1" t="n">
        <v>45586</v>
      </c>
      <c r="D5290" t="inlineStr">
        <is>
          <t>VÄSTRA GÖTALANDS LÄN</t>
        </is>
      </c>
      <c r="E5290" t="inlineStr">
        <is>
          <t>UDDEVALLA</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9590-2021</t>
        </is>
      </c>
      <c r="B5291" s="1" t="n">
        <v>44251</v>
      </c>
      <c r="C5291" s="1" t="n">
        <v>45586</v>
      </c>
      <c r="D5291" t="inlineStr">
        <is>
          <t>VÄSTRA GÖTALANDS LÄN</t>
        </is>
      </c>
      <c r="E5291" t="inlineStr">
        <is>
          <t>STRÖMSTAD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9653-2021</t>
        </is>
      </c>
      <c r="B5292" s="1" t="n">
        <v>44252</v>
      </c>
      <c r="C5292" s="1" t="n">
        <v>45586</v>
      </c>
      <c r="D5292" t="inlineStr">
        <is>
          <t>VÄSTRA GÖTALANDS LÄN</t>
        </is>
      </c>
      <c r="E5292" t="inlineStr">
        <is>
          <t>FALKÖPING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9756-2021</t>
        </is>
      </c>
      <c r="B5293" s="1" t="n">
        <v>44252</v>
      </c>
      <c r="C5293" s="1" t="n">
        <v>45586</v>
      </c>
      <c r="D5293" t="inlineStr">
        <is>
          <t>VÄSTRA GÖTALANDS LÄN</t>
        </is>
      </c>
      <c r="E5293" t="inlineStr">
        <is>
          <t>BENGTSFORS</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9766-2021</t>
        </is>
      </c>
      <c r="B5294" s="1" t="n">
        <v>44252</v>
      </c>
      <c r="C5294" s="1" t="n">
        <v>45586</v>
      </c>
      <c r="D5294" t="inlineStr">
        <is>
          <t>VÄSTRA GÖTALANDS LÄN</t>
        </is>
      </c>
      <c r="E5294" t="inlineStr">
        <is>
          <t>HJO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9786-2021</t>
        </is>
      </c>
      <c r="B5295" s="1" t="n">
        <v>44252</v>
      </c>
      <c r="C5295" s="1" t="n">
        <v>45586</v>
      </c>
      <c r="D5295" t="inlineStr">
        <is>
          <t>VÄSTRA GÖTALANDS LÄN</t>
        </is>
      </c>
      <c r="E5295" t="inlineStr">
        <is>
          <t>TIDAHOLM</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9811-2021</t>
        </is>
      </c>
      <c r="B5296" s="1" t="n">
        <v>44252</v>
      </c>
      <c r="C5296" s="1" t="n">
        <v>45586</v>
      </c>
      <c r="D5296" t="inlineStr">
        <is>
          <t>VÄSTRA GÖTALANDS LÄN</t>
        </is>
      </c>
      <c r="E5296" t="inlineStr">
        <is>
          <t>MARK</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9726-2021</t>
        </is>
      </c>
      <c r="B5297" s="1" t="n">
        <v>44252</v>
      </c>
      <c r="C5297" s="1" t="n">
        <v>45586</v>
      </c>
      <c r="D5297" t="inlineStr">
        <is>
          <t>VÄSTRA GÖTALANDS LÄN</t>
        </is>
      </c>
      <c r="E5297" t="inlineStr">
        <is>
          <t>ALINGSÅS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9771-2021</t>
        </is>
      </c>
      <c r="B5298" s="1" t="n">
        <v>44252</v>
      </c>
      <c r="C5298" s="1" t="n">
        <v>45586</v>
      </c>
      <c r="D5298" t="inlineStr">
        <is>
          <t>VÄSTRA GÖTALANDS LÄN</t>
        </is>
      </c>
      <c r="E5298" t="inlineStr">
        <is>
          <t>HJO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9801-2021</t>
        </is>
      </c>
      <c r="B5299" s="1" t="n">
        <v>44252</v>
      </c>
      <c r="C5299" s="1" t="n">
        <v>45586</v>
      </c>
      <c r="D5299" t="inlineStr">
        <is>
          <t>VÄSTRA GÖTALANDS LÄN</t>
        </is>
      </c>
      <c r="E5299" t="inlineStr">
        <is>
          <t>LILLA EDET</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9773-2021</t>
        </is>
      </c>
      <c r="B5300" s="1" t="n">
        <v>44252</v>
      </c>
      <c r="C5300" s="1" t="n">
        <v>45586</v>
      </c>
      <c r="D5300" t="inlineStr">
        <is>
          <t>VÄSTRA GÖTALANDS LÄN</t>
        </is>
      </c>
      <c r="E5300" t="inlineStr">
        <is>
          <t>HJO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9802-2021</t>
        </is>
      </c>
      <c r="B5301" s="1" t="n">
        <v>44252</v>
      </c>
      <c r="C5301" s="1" t="n">
        <v>45586</v>
      </c>
      <c r="D5301" t="inlineStr">
        <is>
          <t>VÄSTRA GÖTALANDS LÄN</t>
        </is>
      </c>
      <c r="E5301" t="inlineStr">
        <is>
          <t>VÅRGÅRDA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9792-2021</t>
        </is>
      </c>
      <c r="B5302" s="1" t="n">
        <v>44252</v>
      </c>
      <c r="C5302" s="1" t="n">
        <v>45586</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9693-2021</t>
        </is>
      </c>
      <c r="B5303" s="1" t="n">
        <v>44252</v>
      </c>
      <c r="C5303" s="1" t="n">
        <v>45586</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15494-2021</t>
        </is>
      </c>
      <c r="B5304" s="1" t="n">
        <v>44253</v>
      </c>
      <c r="C5304" s="1" t="n">
        <v>45586</v>
      </c>
      <c r="D5304" t="inlineStr">
        <is>
          <t>VÄSTRA GÖTALANDS LÄN</t>
        </is>
      </c>
      <c r="E5304" t="inlineStr">
        <is>
          <t>MARK</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10023-2021</t>
        </is>
      </c>
      <c r="B5305" s="1" t="n">
        <v>44256</v>
      </c>
      <c r="C5305" s="1" t="n">
        <v>45586</v>
      </c>
      <c r="D5305" t="inlineStr">
        <is>
          <t>VÄSTRA GÖTALANDS LÄN</t>
        </is>
      </c>
      <c r="E5305" t="inlineStr">
        <is>
          <t>LILLA EDET</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10052-2021</t>
        </is>
      </c>
      <c r="B5306" s="1" t="n">
        <v>44256</v>
      </c>
      <c r="C5306" s="1" t="n">
        <v>45586</v>
      </c>
      <c r="D5306" t="inlineStr">
        <is>
          <t>VÄSTRA GÖTALANDS LÄN</t>
        </is>
      </c>
      <c r="E5306" t="inlineStr">
        <is>
          <t>LIDKÖPING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10129-2021</t>
        </is>
      </c>
      <c r="B5307" s="1" t="n">
        <v>44256</v>
      </c>
      <c r="C5307" s="1" t="n">
        <v>45586</v>
      </c>
      <c r="D5307" t="inlineStr">
        <is>
          <t>VÄSTRA GÖTALANDS LÄN</t>
        </is>
      </c>
      <c r="E5307" t="inlineStr">
        <is>
          <t>MARIESTAD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10249-2021</t>
        </is>
      </c>
      <c r="B5308" s="1" t="n">
        <v>44256</v>
      </c>
      <c r="C5308" s="1" t="n">
        <v>45586</v>
      </c>
      <c r="D5308" t="inlineStr">
        <is>
          <t>VÄSTRA GÖTALANDS LÄN</t>
        </is>
      </c>
      <c r="E5308" t="inlineStr">
        <is>
          <t>STRÖMSTAD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10166-2021</t>
        </is>
      </c>
      <c r="B5309" s="1" t="n">
        <v>44256</v>
      </c>
      <c r="C5309" s="1" t="n">
        <v>45586</v>
      </c>
      <c r="D5309" t="inlineStr">
        <is>
          <t>VÄSTRA GÖTALANDS LÄN</t>
        </is>
      </c>
      <c r="E5309" t="inlineStr">
        <is>
          <t>HERRLJUNGA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10158-2021</t>
        </is>
      </c>
      <c r="B5310" s="1" t="n">
        <v>44256</v>
      </c>
      <c r="C5310" s="1" t="n">
        <v>45586</v>
      </c>
      <c r="D5310" t="inlineStr">
        <is>
          <t>VÄSTRA GÖTALANDS LÄN</t>
        </is>
      </c>
      <c r="E5310" t="inlineStr">
        <is>
          <t>VÅRGÅRDA</t>
        </is>
      </c>
      <c r="F5310" t="inlineStr">
        <is>
          <t>Sveaskog</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10173-2021</t>
        </is>
      </c>
      <c r="B5311" s="1" t="n">
        <v>44256</v>
      </c>
      <c r="C5311" s="1" t="n">
        <v>45586</v>
      </c>
      <c r="D5311" t="inlineStr">
        <is>
          <t>VÄSTRA GÖTALANDS LÄN</t>
        </is>
      </c>
      <c r="E5311" t="inlineStr">
        <is>
          <t>HERRLJUNGA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10263-2021</t>
        </is>
      </c>
      <c r="B5312" s="1" t="n">
        <v>44256</v>
      </c>
      <c r="C5312" s="1" t="n">
        <v>45586</v>
      </c>
      <c r="D5312" t="inlineStr">
        <is>
          <t>VÄSTRA GÖTALANDS LÄN</t>
        </is>
      </c>
      <c r="E5312" t="inlineStr">
        <is>
          <t>FÄRGELANDA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10252-2021</t>
        </is>
      </c>
      <c r="B5313" s="1" t="n">
        <v>44256</v>
      </c>
      <c r="C5313" s="1" t="n">
        <v>45586</v>
      </c>
      <c r="D5313" t="inlineStr">
        <is>
          <t>VÄSTRA GÖTALANDS LÄN</t>
        </is>
      </c>
      <c r="E5313" t="inlineStr">
        <is>
          <t>STRÖMSTAD</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10345-2021</t>
        </is>
      </c>
      <c r="B5314" s="1" t="n">
        <v>44257</v>
      </c>
      <c r="C5314" s="1" t="n">
        <v>45586</v>
      </c>
      <c r="D5314" t="inlineStr">
        <is>
          <t>VÄSTRA GÖTALANDS LÄN</t>
        </is>
      </c>
      <c r="E5314" t="inlineStr">
        <is>
          <t>GÖTENE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10293-2021</t>
        </is>
      </c>
      <c r="B5315" s="1" t="n">
        <v>44257</v>
      </c>
      <c r="C5315" s="1" t="n">
        <v>45586</v>
      </c>
      <c r="D5315" t="inlineStr">
        <is>
          <t>VÄSTRA GÖTALANDS LÄN</t>
        </is>
      </c>
      <c r="E5315" t="inlineStr">
        <is>
          <t>TIBRO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10302-2021</t>
        </is>
      </c>
      <c r="B5316" s="1" t="n">
        <v>44257</v>
      </c>
      <c r="C5316" s="1" t="n">
        <v>45586</v>
      </c>
      <c r="D5316" t="inlineStr">
        <is>
          <t>VÄSTRA GÖTALANDS LÄN</t>
        </is>
      </c>
      <c r="E5316" t="inlineStr">
        <is>
          <t>BOLLEBYGD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10333-2021</t>
        </is>
      </c>
      <c r="B5317" s="1" t="n">
        <v>44257</v>
      </c>
      <c r="C5317" s="1" t="n">
        <v>45586</v>
      </c>
      <c r="D5317" t="inlineStr">
        <is>
          <t>VÄSTRA GÖTALANDS LÄN</t>
        </is>
      </c>
      <c r="E5317" t="inlineStr">
        <is>
          <t>VÄNERSBORG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10351-2021</t>
        </is>
      </c>
      <c r="B5318" s="1" t="n">
        <v>44257</v>
      </c>
      <c r="C5318" s="1" t="n">
        <v>45586</v>
      </c>
      <c r="D5318" t="inlineStr">
        <is>
          <t>VÄSTRA GÖTALANDS LÄN</t>
        </is>
      </c>
      <c r="E5318" t="inlineStr">
        <is>
          <t>HÄRRYDA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10296-2021</t>
        </is>
      </c>
      <c r="B5319" s="1" t="n">
        <v>44257</v>
      </c>
      <c r="C5319" s="1" t="n">
        <v>45586</v>
      </c>
      <c r="D5319" t="inlineStr">
        <is>
          <t>VÄSTRA GÖTALANDS LÄN</t>
        </is>
      </c>
      <c r="E5319" t="inlineStr">
        <is>
          <t>TIBRO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10321-2021</t>
        </is>
      </c>
      <c r="B5320" s="1" t="n">
        <v>44257</v>
      </c>
      <c r="C5320" s="1" t="n">
        <v>45586</v>
      </c>
      <c r="D5320" t="inlineStr">
        <is>
          <t>VÄSTRA GÖTALANDS LÄN</t>
        </is>
      </c>
      <c r="E5320" t="inlineStr">
        <is>
          <t>DALS-ED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10375-2021</t>
        </is>
      </c>
      <c r="B5321" s="1" t="n">
        <v>44257</v>
      </c>
      <c r="C5321" s="1" t="n">
        <v>45586</v>
      </c>
      <c r="D5321" t="inlineStr">
        <is>
          <t>VÄSTRA GÖTALANDS LÄN</t>
        </is>
      </c>
      <c r="E5321" t="inlineStr">
        <is>
          <t>ULRICEHAMN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10374-2021</t>
        </is>
      </c>
      <c r="B5322" s="1" t="n">
        <v>44257</v>
      </c>
      <c r="C5322" s="1" t="n">
        <v>45586</v>
      </c>
      <c r="D5322" t="inlineStr">
        <is>
          <t>VÄSTRA GÖTALANDS LÄN</t>
        </is>
      </c>
      <c r="E5322" t="inlineStr">
        <is>
          <t>ULRICEHAMN</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10581-2021</t>
        </is>
      </c>
      <c r="B5323" s="1" t="n">
        <v>44258</v>
      </c>
      <c r="C5323" s="1" t="n">
        <v>45586</v>
      </c>
      <c r="D5323" t="inlineStr">
        <is>
          <t>VÄSTRA GÖTALANDS LÄN</t>
        </is>
      </c>
      <c r="E5323" t="inlineStr">
        <is>
          <t>TRANEMO</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10583-2021</t>
        </is>
      </c>
      <c r="B5324" s="1" t="n">
        <v>44258</v>
      </c>
      <c r="C5324" s="1" t="n">
        <v>45586</v>
      </c>
      <c r="D5324" t="inlineStr">
        <is>
          <t>VÄSTRA GÖTALANDS LÄN</t>
        </is>
      </c>
      <c r="E5324" t="inlineStr">
        <is>
          <t>ORUST</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10578-2021</t>
        </is>
      </c>
      <c r="B5325" s="1" t="n">
        <v>44258</v>
      </c>
      <c r="C5325" s="1" t="n">
        <v>45586</v>
      </c>
      <c r="D5325" t="inlineStr">
        <is>
          <t>VÄSTRA GÖTALANDS LÄN</t>
        </is>
      </c>
      <c r="E5325" t="inlineStr">
        <is>
          <t>LYSEKIL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10587-2021</t>
        </is>
      </c>
      <c r="B5326" s="1" t="n">
        <v>44258</v>
      </c>
      <c r="C5326" s="1" t="n">
        <v>45586</v>
      </c>
      <c r="D5326" t="inlineStr">
        <is>
          <t>VÄSTRA GÖTALANDS LÄN</t>
        </is>
      </c>
      <c r="E5326" t="inlineStr">
        <is>
          <t>ÅMÅL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10603-2021</t>
        </is>
      </c>
      <c r="B5327" s="1" t="n">
        <v>44258</v>
      </c>
      <c r="C5327" s="1" t="n">
        <v>45586</v>
      </c>
      <c r="D5327" t="inlineStr">
        <is>
          <t>VÄSTRA GÖTALANDS LÄN</t>
        </is>
      </c>
      <c r="E5327" t="inlineStr">
        <is>
          <t>BENGTSFORS</t>
        </is>
      </c>
      <c r="F5327" t="inlineStr">
        <is>
          <t>Övriga Aktiebolag</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10622-2021</t>
        </is>
      </c>
      <c r="B5328" s="1" t="n">
        <v>44258</v>
      </c>
      <c r="C5328" s="1" t="n">
        <v>45586</v>
      </c>
      <c r="D5328" t="inlineStr">
        <is>
          <t>VÄSTRA GÖTALANDS LÄN</t>
        </is>
      </c>
      <c r="E5328" t="inlineStr">
        <is>
          <t>BENGTSFORS</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10645-2021</t>
        </is>
      </c>
      <c r="B5329" s="1" t="n">
        <v>44258</v>
      </c>
      <c r="C5329" s="1" t="n">
        <v>45586</v>
      </c>
      <c r="D5329" t="inlineStr">
        <is>
          <t>VÄSTRA GÖTALANDS LÄN</t>
        </is>
      </c>
      <c r="E5329" t="inlineStr">
        <is>
          <t>FALKÖPING</t>
        </is>
      </c>
      <c r="F5329" t="inlineStr">
        <is>
          <t>Kyrkan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10629-2021</t>
        </is>
      </c>
      <c r="B5330" s="1" t="n">
        <v>44258</v>
      </c>
      <c r="C5330" s="1" t="n">
        <v>45586</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10689-2021</t>
        </is>
      </c>
      <c r="B5331" s="1" t="n">
        <v>44258</v>
      </c>
      <c r="C5331" s="1" t="n">
        <v>45586</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10574-2021</t>
        </is>
      </c>
      <c r="B5332" s="1" t="n">
        <v>44258</v>
      </c>
      <c r="C5332" s="1" t="n">
        <v>45586</v>
      </c>
      <c r="D5332" t="inlineStr">
        <is>
          <t>VÄSTRA GÖTALANDS LÄN</t>
        </is>
      </c>
      <c r="E5332" t="inlineStr">
        <is>
          <t>LYSEKIL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10650-2021</t>
        </is>
      </c>
      <c r="B5333" s="1" t="n">
        <v>44258</v>
      </c>
      <c r="C5333" s="1" t="n">
        <v>45586</v>
      </c>
      <c r="D5333" t="inlineStr">
        <is>
          <t>VÄSTRA GÖTALANDS LÄN</t>
        </is>
      </c>
      <c r="E5333" t="inlineStr">
        <is>
          <t>BENGTSFORS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10722-2021</t>
        </is>
      </c>
      <c r="B5334" s="1" t="n">
        <v>44258</v>
      </c>
      <c r="C5334" s="1" t="n">
        <v>45586</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10544-2021</t>
        </is>
      </c>
      <c r="B5335" s="1" t="n">
        <v>44258</v>
      </c>
      <c r="C5335" s="1" t="n">
        <v>45586</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10724-2021</t>
        </is>
      </c>
      <c r="B5336" s="1" t="n">
        <v>44258</v>
      </c>
      <c r="C5336" s="1" t="n">
        <v>45586</v>
      </c>
      <c r="D5336" t="inlineStr">
        <is>
          <t>VÄSTRA GÖTALANDS LÄN</t>
        </is>
      </c>
      <c r="E5336" t="inlineStr">
        <is>
          <t>SVENLJUNGA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10766-2021</t>
        </is>
      </c>
      <c r="B5337" s="1" t="n">
        <v>44259</v>
      </c>
      <c r="C5337" s="1" t="n">
        <v>45586</v>
      </c>
      <c r="D5337" t="inlineStr">
        <is>
          <t>VÄSTRA GÖTALANDS LÄN</t>
        </is>
      </c>
      <c r="E5337" t="inlineStr">
        <is>
          <t>UDDEVALLA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10879-2021</t>
        </is>
      </c>
      <c r="B5338" s="1" t="n">
        <v>44259</v>
      </c>
      <c r="C5338" s="1" t="n">
        <v>45586</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10901-2021</t>
        </is>
      </c>
      <c r="B5339" s="1" t="n">
        <v>44259</v>
      </c>
      <c r="C5339" s="1" t="n">
        <v>45586</v>
      </c>
      <c r="D5339" t="inlineStr">
        <is>
          <t>VÄSTRA GÖTALANDS LÄN</t>
        </is>
      </c>
      <c r="E5339" t="inlineStr">
        <is>
          <t>MARIESTAD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10890-2021</t>
        </is>
      </c>
      <c r="B5340" s="1" t="n">
        <v>44259</v>
      </c>
      <c r="C5340" s="1" t="n">
        <v>45586</v>
      </c>
      <c r="D5340" t="inlineStr">
        <is>
          <t>VÄSTRA GÖTALANDS LÄN</t>
        </is>
      </c>
      <c r="E5340" t="inlineStr">
        <is>
          <t>TROLLHÄTTAN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11029-2021</t>
        </is>
      </c>
      <c r="B5341" s="1" t="n">
        <v>44260</v>
      </c>
      <c r="C5341" s="1" t="n">
        <v>45586</v>
      </c>
      <c r="D5341" t="inlineStr">
        <is>
          <t>VÄSTRA GÖTALANDS LÄN</t>
        </is>
      </c>
      <c r="E5341" t="inlineStr">
        <is>
          <t>MARIESTAD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11023-2021</t>
        </is>
      </c>
      <c r="B5342" s="1" t="n">
        <v>44260</v>
      </c>
      <c r="C5342" s="1" t="n">
        <v>45586</v>
      </c>
      <c r="D5342" t="inlineStr">
        <is>
          <t>VÄSTRA GÖTALANDS LÄN</t>
        </is>
      </c>
      <c r="E5342" t="inlineStr">
        <is>
          <t>MARIESTAD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11025-2021</t>
        </is>
      </c>
      <c r="B5343" s="1" t="n">
        <v>44260</v>
      </c>
      <c r="C5343" s="1" t="n">
        <v>45586</v>
      </c>
      <c r="D5343" t="inlineStr">
        <is>
          <t>VÄSTRA GÖTALANDS LÄN</t>
        </is>
      </c>
      <c r="E5343" t="inlineStr">
        <is>
          <t>ALINGSÅS</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11137-2021</t>
        </is>
      </c>
      <c r="B5344" s="1" t="n">
        <v>44260</v>
      </c>
      <c r="C5344" s="1" t="n">
        <v>45586</v>
      </c>
      <c r="D5344" t="inlineStr">
        <is>
          <t>VÄSTRA GÖTALANDS LÄN</t>
        </is>
      </c>
      <c r="E5344" t="inlineStr">
        <is>
          <t>ESSUNGA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11173-2021</t>
        </is>
      </c>
      <c r="B5345" s="1" t="n">
        <v>44262</v>
      </c>
      <c r="C5345" s="1" t="n">
        <v>45586</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11180-2021</t>
        </is>
      </c>
      <c r="B5346" s="1" t="n">
        <v>44262</v>
      </c>
      <c r="C5346" s="1" t="n">
        <v>45586</v>
      </c>
      <c r="D5346" t="inlineStr">
        <is>
          <t>VÄSTRA GÖTALANDS LÄN</t>
        </is>
      </c>
      <c r="E5346" t="inlineStr">
        <is>
          <t>BORÅS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11218-2021</t>
        </is>
      </c>
      <c r="B5347" s="1" t="n">
        <v>44263</v>
      </c>
      <c r="C5347" s="1" t="n">
        <v>45586</v>
      </c>
      <c r="D5347" t="inlineStr">
        <is>
          <t>VÄSTRA GÖTALANDS LÄN</t>
        </is>
      </c>
      <c r="E5347" t="inlineStr">
        <is>
          <t>TRANEMO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11200-2021</t>
        </is>
      </c>
      <c r="B5348" s="1" t="n">
        <v>44263</v>
      </c>
      <c r="C5348" s="1" t="n">
        <v>45586</v>
      </c>
      <c r="D5348" t="inlineStr">
        <is>
          <t>VÄSTRA GÖTALANDS LÄN</t>
        </is>
      </c>
      <c r="E5348" t="inlineStr">
        <is>
          <t>TÖREBODA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11331-2021</t>
        </is>
      </c>
      <c r="B5349" s="1" t="n">
        <v>44263</v>
      </c>
      <c r="C5349" s="1" t="n">
        <v>45586</v>
      </c>
      <c r="D5349" t="inlineStr">
        <is>
          <t>VÄSTRA GÖTALANDS LÄN</t>
        </is>
      </c>
      <c r="E5349" t="inlineStr">
        <is>
          <t>FALKÖPING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11399-2021</t>
        </is>
      </c>
      <c r="B5350" s="1" t="n">
        <v>44263</v>
      </c>
      <c r="C5350" s="1" t="n">
        <v>45586</v>
      </c>
      <c r="D5350" t="inlineStr">
        <is>
          <t>VÄSTRA GÖTALANDS LÄN</t>
        </is>
      </c>
      <c r="E5350" t="inlineStr">
        <is>
          <t>ALINGSÅS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11370-2021</t>
        </is>
      </c>
      <c r="B5351" s="1" t="n">
        <v>44263</v>
      </c>
      <c r="C5351" s="1" t="n">
        <v>45586</v>
      </c>
      <c r="D5351" t="inlineStr">
        <is>
          <t>VÄSTRA GÖTALANDS LÄN</t>
        </is>
      </c>
      <c r="E5351" t="inlineStr">
        <is>
          <t>FÄRGELANDA</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11510-2021</t>
        </is>
      </c>
      <c r="B5352" s="1" t="n">
        <v>44264</v>
      </c>
      <c r="C5352" s="1" t="n">
        <v>45586</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11557-2021</t>
        </is>
      </c>
      <c r="B5353" s="1" t="n">
        <v>44264</v>
      </c>
      <c r="C5353" s="1" t="n">
        <v>45586</v>
      </c>
      <c r="D5353" t="inlineStr">
        <is>
          <t>VÄSTRA GÖTALANDS LÄN</t>
        </is>
      </c>
      <c r="E5353" t="inlineStr">
        <is>
          <t>VARA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11526-2021</t>
        </is>
      </c>
      <c r="B5354" s="1" t="n">
        <v>44264</v>
      </c>
      <c r="C5354" s="1" t="n">
        <v>45586</v>
      </c>
      <c r="D5354" t="inlineStr">
        <is>
          <t>VÄSTRA GÖTALANDS LÄN</t>
        </is>
      </c>
      <c r="E5354" t="inlineStr">
        <is>
          <t>DALS-ED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11442-2021</t>
        </is>
      </c>
      <c r="B5355" s="1" t="n">
        <v>44264</v>
      </c>
      <c r="C5355" s="1" t="n">
        <v>45586</v>
      </c>
      <c r="D5355" t="inlineStr">
        <is>
          <t>VÄSTRA GÖTALANDS LÄN</t>
        </is>
      </c>
      <c r="E5355" t="inlineStr">
        <is>
          <t>MARIESTAD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11657-2021</t>
        </is>
      </c>
      <c r="B5356" s="1" t="n">
        <v>44264</v>
      </c>
      <c r="C5356" s="1" t="n">
        <v>45586</v>
      </c>
      <c r="D5356" t="inlineStr">
        <is>
          <t>VÄSTRA GÖTALANDS LÄN</t>
        </is>
      </c>
      <c r="E5356" t="inlineStr">
        <is>
          <t>MELLERUD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11643-2021</t>
        </is>
      </c>
      <c r="B5357" s="1" t="n">
        <v>44264</v>
      </c>
      <c r="C5357" s="1" t="n">
        <v>45586</v>
      </c>
      <c r="D5357" t="inlineStr">
        <is>
          <t>VÄSTRA GÖTALANDS LÄN</t>
        </is>
      </c>
      <c r="E5357" t="inlineStr">
        <is>
          <t>TRANEMO</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11667-2021</t>
        </is>
      </c>
      <c r="B5358" s="1" t="n">
        <v>44264</v>
      </c>
      <c r="C5358" s="1" t="n">
        <v>45586</v>
      </c>
      <c r="D5358" t="inlineStr">
        <is>
          <t>VÄSTRA GÖTALANDS LÄN</t>
        </is>
      </c>
      <c r="E5358" t="inlineStr">
        <is>
          <t>MELLERUD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11679-2021</t>
        </is>
      </c>
      <c r="B5359" s="1" t="n">
        <v>44264</v>
      </c>
      <c r="C5359" s="1" t="n">
        <v>45586</v>
      </c>
      <c r="D5359" t="inlineStr">
        <is>
          <t>VÄSTRA GÖTALANDS LÄN</t>
        </is>
      </c>
      <c r="E5359" t="inlineStr">
        <is>
          <t>SVENLJUNGA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11656-2021</t>
        </is>
      </c>
      <c r="B5360" s="1" t="n">
        <v>44264</v>
      </c>
      <c r="C5360" s="1" t="n">
        <v>45586</v>
      </c>
      <c r="D5360" t="inlineStr">
        <is>
          <t>VÄSTRA GÖTALANDS LÄN</t>
        </is>
      </c>
      <c r="E5360" t="inlineStr">
        <is>
          <t>DALS-ED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11772-2021</t>
        </is>
      </c>
      <c r="B5361" s="1" t="n">
        <v>44265</v>
      </c>
      <c r="C5361" s="1" t="n">
        <v>45586</v>
      </c>
      <c r="D5361" t="inlineStr">
        <is>
          <t>VÄSTRA GÖTALANDS LÄN</t>
        </is>
      </c>
      <c r="E5361" t="inlineStr">
        <is>
          <t>ULRICEHAMN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11850-2021</t>
        </is>
      </c>
      <c r="B5362" s="1" t="n">
        <v>44265</v>
      </c>
      <c r="C5362" s="1" t="n">
        <v>45586</v>
      </c>
      <c r="D5362" t="inlineStr">
        <is>
          <t>VÄSTRA GÖTALANDS LÄN</t>
        </is>
      </c>
      <c r="E5362" t="inlineStr">
        <is>
          <t>UDDEVALLA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11887-2021</t>
        </is>
      </c>
      <c r="B5363" s="1" t="n">
        <v>44265</v>
      </c>
      <c r="C5363" s="1" t="n">
        <v>45586</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11719-2021</t>
        </is>
      </c>
      <c r="B5364" s="1" t="n">
        <v>44265</v>
      </c>
      <c r="C5364" s="1" t="n">
        <v>45586</v>
      </c>
      <c r="D5364" t="inlineStr">
        <is>
          <t>VÄSTRA GÖTALANDS LÄN</t>
        </is>
      </c>
      <c r="E5364" t="inlineStr">
        <is>
          <t>GULLSPÅNG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11768-2021</t>
        </is>
      </c>
      <c r="B5365" s="1" t="n">
        <v>44265</v>
      </c>
      <c r="C5365" s="1" t="n">
        <v>45586</v>
      </c>
      <c r="D5365" t="inlineStr">
        <is>
          <t>VÄSTRA GÖTALANDS LÄN</t>
        </is>
      </c>
      <c r="E5365" t="inlineStr">
        <is>
          <t>FÄRGELANDA</t>
        </is>
      </c>
      <c r="F5365" t="inlineStr">
        <is>
          <t>Kommuner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11853-2021</t>
        </is>
      </c>
      <c r="B5366" s="1" t="n">
        <v>44265</v>
      </c>
      <c r="C5366" s="1" t="n">
        <v>45586</v>
      </c>
      <c r="D5366" t="inlineStr">
        <is>
          <t>VÄSTRA GÖTALANDS LÄN</t>
        </is>
      </c>
      <c r="E5366" t="inlineStr">
        <is>
          <t>TIDAHOLM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11805-2021</t>
        </is>
      </c>
      <c r="B5367" s="1" t="n">
        <v>44265</v>
      </c>
      <c r="C5367" s="1" t="n">
        <v>45586</v>
      </c>
      <c r="D5367" t="inlineStr">
        <is>
          <t>VÄSTRA GÖTALANDS LÄN</t>
        </is>
      </c>
      <c r="E5367" t="inlineStr">
        <is>
          <t>GULLSPÅNG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11934-2021</t>
        </is>
      </c>
      <c r="B5368" s="1" t="n">
        <v>44265</v>
      </c>
      <c r="C5368" s="1" t="n">
        <v>45586</v>
      </c>
      <c r="D5368" t="inlineStr">
        <is>
          <t>VÄSTRA GÖTALANDS LÄN</t>
        </is>
      </c>
      <c r="E5368" t="inlineStr">
        <is>
          <t>SKARA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11955-2021</t>
        </is>
      </c>
      <c r="B5369" s="1" t="n">
        <v>44266</v>
      </c>
      <c r="C5369" s="1" t="n">
        <v>45586</v>
      </c>
      <c r="D5369" t="inlineStr">
        <is>
          <t>VÄSTRA GÖTALANDS LÄN</t>
        </is>
      </c>
      <c r="E5369" t="inlineStr">
        <is>
          <t>BORÅS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45586</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12046-2021</t>
        </is>
      </c>
      <c r="B5371" s="1" t="n">
        <v>44266</v>
      </c>
      <c r="C5371" s="1" t="n">
        <v>45586</v>
      </c>
      <c r="D5371" t="inlineStr">
        <is>
          <t>VÄSTRA GÖTALANDS LÄN</t>
        </is>
      </c>
      <c r="E5371" t="inlineStr">
        <is>
          <t>DALS-ED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12052-2021</t>
        </is>
      </c>
      <c r="B5372" s="1" t="n">
        <v>44266</v>
      </c>
      <c r="C5372" s="1" t="n">
        <v>45586</v>
      </c>
      <c r="D5372" t="inlineStr">
        <is>
          <t>VÄSTRA GÖTALANDS LÄN</t>
        </is>
      </c>
      <c r="E5372" t="inlineStr">
        <is>
          <t>DALS-ED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12089-2021</t>
        </is>
      </c>
      <c r="B5373" s="1" t="n">
        <v>44266</v>
      </c>
      <c r="C5373" s="1" t="n">
        <v>45586</v>
      </c>
      <c r="D5373" t="inlineStr">
        <is>
          <t>VÄSTRA GÖTALANDS LÄN</t>
        </is>
      </c>
      <c r="E5373" t="inlineStr">
        <is>
          <t>TÖREBODA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11950-2021</t>
        </is>
      </c>
      <c r="B5374" s="1" t="n">
        <v>44266</v>
      </c>
      <c r="C5374" s="1" t="n">
        <v>45586</v>
      </c>
      <c r="D5374" t="inlineStr">
        <is>
          <t>VÄSTRA GÖTALANDS LÄN</t>
        </is>
      </c>
      <c r="E5374" t="inlineStr">
        <is>
          <t>BORÅS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11987-2021</t>
        </is>
      </c>
      <c r="B5375" s="1" t="n">
        <v>44266</v>
      </c>
      <c r="C5375" s="1" t="n">
        <v>45586</v>
      </c>
      <c r="D5375" t="inlineStr">
        <is>
          <t>VÄSTRA GÖTALANDS LÄN</t>
        </is>
      </c>
      <c r="E5375" t="inlineStr">
        <is>
          <t>ALINGSÅS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11948-2021</t>
        </is>
      </c>
      <c r="B5376" s="1" t="n">
        <v>44266</v>
      </c>
      <c r="C5376" s="1" t="n">
        <v>45586</v>
      </c>
      <c r="D5376" t="inlineStr">
        <is>
          <t>VÄSTRA GÖTALANDS LÄN</t>
        </is>
      </c>
      <c r="E5376" t="inlineStr">
        <is>
          <t>BORÅS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12122-2021</t>
        </is>
      </c>
      <c r="B5377" s="1" t="n">
        <v>44266</v>
      </c>
      <c r="C5377" s="1" t="n">
        <v>45586</v>
      </c>
      <c r="D5377" t="inlineStr">
        <is>
          <t>VÄSTRA GÖTALANDS LÄN</t>
        </is>
      </c>
      <c r="E5377" t="inlineStr">
        <is>
          <t>MARIESTAD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12091-2021</t>
        </is>
      </c>
      <c r="B5378" s="1" t="n">
        <v>44266</v>
      </c>
      <c r="C5378" s="1" t="n">
        <v>45586</v>
      </c>
      <c r="D5378" t="inlineStr">
        <is>
          <t>VÄSTRA GÖTALANDS LÄN</t>
        </is>
      </c>
      <c r="E5378" t="inlineStr">
        <is>
          <t>MARK</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12107-2021</t>
        </is>
      </c>
      <c r="B5379" s="1" t="n">
        <v>44266</v>
      </c>
      <c r="C5379" s="1" t="n">
        <v>45586</v>
      </c>
      <c r="D5379" t="inlineStr">
        <is>
          <t>VÄSTRA GÖTALANDS LÄN</t>
        </is>
      </c>
      <c r="E5379" t="inlineStr">
        <is>
          <t>TÖREBODA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12206-2021</t>
        </is>
      </c>
      <c r="B5380" s="1" t="n">
        <v>44266</v>
      </c>
      <c r="C5380" s="1" t="n">
        <v>45586</v>
      </c>
      <c r="D5380" t="inlineStr">
        <is>
          <t>VÄSTRA GÖTALANDS LÄN</t>
        </is>
      </c>
      <c r="E5380" t="inlineStr">
        <is>
          <t>KARLSBORG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12176-2021</t>
        </is>
      </c>
      <c r="B5381" s="1" t="n">
        <v>44266</v>
      </c>
      <c r="C5381" s="1" t="n">
        <v>45586</v>
      </c>
      <c r="D5381" t="inlineStr">
        <is>
          <t>VÄSTRA GÖTALANDS LÄN</t>
        </is>
      </c>
      <c r="E5381" t="inlineStr">
        <is>
          <t>FÄRGELANDA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12208-2021</t>
        </is>
      </c>
      <c r="B5382" s="1" t="n">
        <v>44266</v>
      </c>
      <c r="C5382" s="1" t="n">
        <v>45586</v>
      </c>
      <c r="D5382" t="inlineStr">
        <is>
          <t>VÄSTRA GÖTALANDS LÄN</t>
        </is>
      </c>
      <c r="E5382" t="inlineStr">
        <is>
          <t>KARLSBORG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12204-2021</t>
        </is>
      </c>
      <c r="B5383" s="1" t="n">
        <v>44266</v>
      </c>
      <c r="C5383" s="1" t="n">
        <v>45586</v>
      </c>
      <c r="D5383" t="inlineStr">
        <is>
          <t>VÄSTRA GÖTALANDS LÄN</t>
        </is>
      </c>
      <c r="E5383" t="inlineStr">
        <is>
          <t>KARLSBORG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12274-2021</t>
        </is>
      </c>
      <c r="B5384" s="1" t="n">
        <v>44266</v>
      </c>
      <c r="C5384" s="1" t="n">
        <v>45586</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12219-2021</t>
        </is>
      </c>
      <c r="B5385" s="1" t="n">
        <v>44266</v>
      </c>
      <c r="C5385" s="1" t="n">
        <v>45586</v>
      </c>
      <c r="D5385" t="inlineStr">
        <is>
          <t>VÄSTRA GÖTALANDS LÄN</t>
        </is>
      </c>
      <c r="E5385" t="inlineStr">
        <is>
          <t>KARLSBORG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12262-2021</t>
        </is>
      </c>
      <c r="B5386" s="1" t="n">
        <v>44266</v>
      </c>
      <c r="C5386" s="1" t="n">
        <v>45586</v>
      </c>
      <c r="D5386" t="inlineStr">
        <is>
          <t>VÄSTRA GÖTALANDS LÄN</t>
        </is>
      </c>
      <c r="E5386" t="inlineStr">
        <is>
          <t>HÄRRYDA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12270-2021</t>
        </is>
      </c>
      <c r="B5387" s="1" t="n">
        <v>44266</v>
      </c>
      <c r="C5387" s="1" t="n">
        <v>45586</v>
      </c>
      <c r="D5387" t="inlineStr">
        <is>
          <t>VÄSTRA GÖTALANDS LÄN</t>
        </is>
      </c>
      <c r="E5387" t="inlineStr">
        <is>
          <t>STENUNGSUND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12344-2021</t>
        </is>
      </c>
      <c r="B5388" s="1" t="n">
        <v>44267</v>
      </c>
      <c r="C5388" s="1" t="n">
        <v>45586</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12342-2021</t>
        </is>
      </c>
      <c r="B5389" s="1" t="n">
        <v>44267</v>
      </c>
      <c r="C5389" s="1" t="n">
        <v>45586</v>
      </c>
      <c r="D5389" t="inlineStr">
        <is>
          <t>VÄSTRA GÖTALANDS LÄN</t>
        </is>
      </c>
      <c r="E5389" t="inlineStr">
        <is>
          <t>VÅRGÅRDA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12454-2021</t>
        </is>
      </c>
      <c r="B5390" s="1" t="n">
        <v>44267</v>
      </c>
      <c r="C5390" s="1" t="n">
        <v>45586</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12466-2021</t>
        </is>
      </c>
      <c r="B5391" s="1" t="n">
        <v>44267</v>
      </c>
      <c r="C5391" s="1" t="n">
        <v>45586</v>
      </c>
      <c r="D5391" t="inlineStr">
        <is>
          <t>VÄSTRA GÖTALANDS LÄN</t>
        </is>
      </c>
      <c r="E5391" t="inlineStr">
        <is>
          <t>FÄRGELANDA</t>
        </is>
      </c>
      <c r="F5391" t="inlineStr">
        <is>
          <t>Övriga Aktiebolag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12680-2021</t>
        </is>
      </c>
      <c r="B5392" s="1" t="n">
        <v>44267</v>
      </c>
      <c r="C5392" s="1" t="n">
        <v>45586</v>
      </c>
      <c r="D5392" t="inlineStr">
        <is>
          <t>VÄSTRA GÖTALANDS LÄN</t>
        </is>
      </c>
      <c r="E5392" t="inlineStr">
        <is>
          <t>ULRICEHAMN</t>
        </is>
      </c>
      <c r="F5392" t="inlineStr">
        <is>
          <t>Kyrkan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12681-2021</t>
        </is>
      </c>
      <c r="B5393" s="1" t="n">
        <v>44267</v>
      </c>
      <c r="C5393" s="1" t="n">
        <v>45586</v>
      </c>
      <c r="D5393" t="inlineStr">
        <is>
          <t>VÄSTRA GÖTALANDS LÄN</t>
        </is>
      </c>
      <c r="E5393" t="inlineStr">
        <is>
          <t>ULRICEHAMN</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12383-2021</t>
        </is>
      </c>
      <c r="B5394" s="1" t="n">
        <v>44267</v>
      </c>
      <c r="C5394" s="1" t="n">
        <v>45586</v>
      </c>
      <c r="D5394" t="inlineStr">
        <is>
          <t>VÄSTRA GÖTALANDS LÄN</t>
        </is>
      </c>
      <c r="E5394" t="inlineStr">
        <is>
          <t>TRANEMO</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12677-2021</t>
        </is>
      </c>
      <c r="B5395" s="1" t="n">
        <v>44267</v>
      </c>
      <c r="C5395" s="1" t="n">
        <v>45586</v>
      </c>
      <c r="D5395" t="inlineStr">
        <is>
          <t>VÄSTRA GÖTALANDS LÄN</t>
        </is>
      </c>
      <c r="E5395" t="inlineStr">
        <is>
          <t>ULRICEHAMN</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12503-2021</t>
        </is>
      </c>
      <c r="B5396" s="1" t="n">
        <v>44268</v>
      </c>
      <c r="C5396" s="1" t="n">
        <v>45586</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12517-2021</t>
        </is>
      </c>
      <c r="B5397" s="1" t="n">
        <v>44268</v>
      </c>
      <c r="C5397" s="1" t="n">
        <v>45586</v>
      </c>
      <c r="D5397" t="inlineStr">
        <is>
          <t>VÄSTRA GÖTALANDS LÄN</t>
        </is>
      </c>
      <c r="E5397" t="inlineStr">
        <is>
          <t>KUNGÄLV</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12668-2021</t>
        </is>
      </c>
      <c r="B5398" s="1" t="n">
        <v>44270</v>
      </c>
      <c r="C5398" s="1" t="n">
        <v>45586</v>
      </c>
      <c r="D5398" t="inlineStr">
        <is>
          <t>VÄSTRA GÖTALANDS LÄN</t>
        </is>
      </c>
      <c r="E5398" t="inlineStr">
        <is>
          <t>VARA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12695-2021</t>
        </is>
      </c>
      <c r="B5399" s="1" t="n">
        <v>44270</v>
      </c>
      <c r="C5399" s="1" t="n">
        <v>45586</v>
      </c>
      <c r="D5399" t="inlineStr">
        <is>
          <t>VÄSTRA GÖTALANDS LÄN</t>
        </is>
      </c>
      <c r="E5399" t="inlineStr">
        <is>
          <t>MELLERUD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12745-2021</t>
        </is>
      </c>
      <c r="B5400" s="1" t="n">
        <v>44270</v>
      </c>
      <c r="C5400" s="1" t="n">
        <v>45586</v>
      </c>
      <c r="D5400" t="inlineStr">
        <is>
          <t>VÄSTRA GÖTALANDS LÄN</t>
        </is>
      </c>
      <c r="E5400" t="inlineStr">
        <is>
          <t>TANUM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12548-2021</t>
        </is>
      </c>
      <c r="B5401" s="1" t="n">
        <v>44270</v>
      </c>
      <c r="C5401" s="1" t="n">
        <v>45586</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12546-2021</t>
        </is>
      </c>
      <c r="B5402" s="1" t="n">
        <v>44270</v>
      </c>
      <c r="C5402" s="1" t="n">
        <v>45586</v>
      </c>
      <c r="D5402" t="inlineStr">
        <is>
          <t>VÄSTRA GÖTALANDS LÄN</t>
        </is>
      </c>
      <c r="E5402" t="inlineStr">
        <is>
          <t>TRANEMO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12575-2021</t>
        </is>
      </c>
      <c r="B5403" s="1" t="n">
        <v>44270</v>
      </c>
      <c r="C5403" s="1" t="n">
        <v>45586</v>
      </c>
      <c r="D5403" t="inlineStr">
        <is>
          <t>VÄSTRA GÖTALANDS LÄN</t>
        </is>
      </c>
      <c r="E5403" t="inlineStr">
        <is>
          <t>VARA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12605-2021</t>
        </is>
      </c>
      <c r="B5404" s="1" t="n">
        <v>44270</v>
      </c>
      <c r="C5404" s="1" t="n">
        <v>45586</v>
      </c>
      <c r="D5404" t="inlineStr">
        <is>
          <t>VÄSTRA GÖTALANDS LÄN</t>
        </is>
      </c>
      <c r="E5404" t="inlineStr">
        <is>
          <t>SOTENÄS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12628-2021</t>
        </is>
      </c>
      <c r="B5405" s="1" t="n">
        <v>44270</v>
      </c>
      <c r="C5405" s="1" t="n">
        <v>45586</v>
      </c>
      <c r="D5405" t="inlineStr">
        <is>
          <t>VÄSTRA GÖTALANDS LÄN</t>
        </is>
      </c>
      <c r="E5405" t="inlineStr">
        <is>
          <t>ÅMÅL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12654-2021</t>
        </is>
      </c>
      <c r="B5406" s="1" t="n">
        <v>44270</v>
      </c>
      <c r="C5406" s="1" t="n">
        <v>45586</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12543-2021</t>
        </is>
      </c>
      <c r="B5407" s="1" t="n">
        <v>44270</v>
      </c>
      <c r="C5407" s="1" t="n">
        <v>45586</v>
      </c>
      <c r="D5407" t="inlineStr">
        <is>
          <t>VÄSTRA GÖTALANDS LÄN</t>
        </is>
      </c>
      <c r="E5407" t="inlineStr">
        <is>
          <t>TRANEMO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12735-2021</t>
        </is>
      </c>
      <c r="B5408" s="1" t="n">
        <v>44270</v>
      </c>
      <c r="C5408" s="1" t="n">
        <v>45586</v>
      </c>
      <c r="D5408" t="inlineStr">
        <is>
          <t>VÄSTRA GÖTALANDS LÄN</t>
        </is>
      </c>
      <c r="E5408" t="inlineStr">
        <is>
          <t>TRANEMO</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12733-2021</t>
        </is>
      </c>
      <c r="B5409" s="1" t="n">
        <v>44270</v>
      </c>
      <c r="C5409" s="1" t="n">
        <v>45586</v>
      </c>
      <c r="D5409" t="inlineStr">
        <is>
          <t>VÄSTRA GÖTALANDS LÄN</t>
        </is>
      </c>
      <c r="E5409" t="inlineStr">
        <is>
          <t>ULRICEHAMN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12675-2021</t>
        </is>
      </c>
      <c r="B5410" s="1" t="n">
        <v>44270</v>
      </c>
      <c r="C5410" s="1" t="n">
        <v>45586</v>
      </c>
      <c r="D5410" t="inlineStr">
        <is>
          <t>VÄSTRA GÖTALANDS LÄN</t>
        </is>
      </c>
      <c r="E5410" t="inlineStr">
        <is>
          <t>VARA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12726-2021</t>
        </is>
      </c>
      <c r="B5411" s="1" t="n">
        <v>44270</v>
      </c>
      <c r="C5411" s="1" t="n">
        <v>45586</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12752-2021</t>
        </is>
      </c>
      <c r="B5412" s="1" t="n">
        <v>44270</v>
      </c>
      <c r="C5412" s="1" t="n">
        <v>45586</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12846-2021</t>
        </is>
      </c>
      <c r="B5413" s="1" t="n">
        <v>44270</v>
      </c>
      <c r="C5413" s="1" t="n">
        <v>45586</v>
      </c>
      <c r="D5413" t="inlineStr">
        <is>
          <t>VÄSTRA GÖTALANDS LÄN</t>
        </is>
      </c>
      <c r="E5413" t="inlineStr">
        <is>
          <t>GRÄSTORP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12903-2021</t>
        </is>
      </c>
      <c r="B5414" s="1" t="n">
        <v>44271</v>
      </c>
      <c r="C5414" s="1" t="n">
        <v>45586</v>
      </c>
      <c r="D5414" t="inlineStr">
        <is>
          <t>VÄSTRA GÖTALANDS LÄN</t>
        </is>
      </c>
      <c r="E5414" t="inlineStr">
        <is>
          <t>VÅRGÅRDA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12918-2021</t>
        </is>
      </c>
      <c r="B5415" s="1" t="n">
        <v>44271</v>
      </c>
      <c r="C5415" s="1" t="n">
        <v>45586</v>
      </c>
      <c r="D5415" t="inlineStr">
        <is>
          <t>VÄSTRA GÖTALANDS LÄN</t>
        </is>
      </c>
      <c r="E5415" t="inlineStr">
        <is>
          <t>VÅRGÅRDA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12967-2021</t>
        </is>
      </c>
      <c r="B5416" s="1" t="n">
        <v>44271</v>
      </c>
      <c r="C5416" s="1" t="n">
        <v>45586</v>
      </c>
      <c r="D5416" t="inlineStr">
        <is>
          <t>VÄSTRA GÖTALANDS LÄN</t>
        </is>
      </c>
      <c r="E5416" t="inlineStr">
        <is>
          <t>VÅRGÅRDA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12836-2021</t>
        </is>
      </c>
      <c r="B5417" s="1" t="n">
        <v>44271</v>
      </c>
      <c r="C5417" s="1" t="n">
        <v>45586</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12881-2021</t>
        </is>
      </c>
      <c r="B5418" s="1" t="n">
        <v>44271</v>
      </c>
      <c r="C5418" s="1" t="n">
        <v>45586</v>
      </c>
      <c r="D5418" t="inlineStr">
        <is>
          <t>VÄSTRA GÖTALANDS LÄN</t>
        </is>
      </c>
      <c r="E5418" t="inlineStr">
        <is>
          <t>MARK</t>
        </is>
      </c>
      <c r="F5418" t="inlineStr">
        <is>
          <t>Kommuner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12910-2021</t>
        </is>
      </c>
      <c r="B5419" s="1" t="n">
        <v>44271</v>
      </c>
      <c r="C5419" s="1" t="n">
        <v>45586</v>
      </c>
      <c r="D5419" t="inlineStr">
        <is>
          <t>VÄSTRA GÖTALANDS LÄN</t>
        </is>
      </c>
      <c r="E5419" t="inlineStr">
        <is>
          <t>ALINGSÅS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12912-2021</t>
        </is>
      </c>
      <c r="B5420" s="1" t="n">
        <v>44271</v>
      </c>
      <c r="C5420" s="1" t="n">
        <v>45586</v>
      </c>
      <c r="D5420" t="inlineStr">
        <is>
          <t>VÄSTRA GÖTALANDS LÄN</t>
        </is>
      </c>
      <c r="E5420" t="inlineStr">
        <is>
          <t>MARK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12949-2021</t>
        </is>
      </c>
      <c r="B5421" s="1" t="n">
        <v>44271</v>
      </c>
      <c r="C5421" s="1" t="n">
        <v>45586</v>
      </c>
      <c r="D5421" t="inlineStr">
        <is>
          <t>VÄSTRA GÖTALANDS LÄN</t>
        </is>
      </c>
      <c r="E5421" t="inlineStr">
        <is>
          <t>MARK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12906-2021</t>
        </is>
      </c>
      <c r="B5422" s="1" t="n">
        <v>44271</v>
      </c>
      <c r="C5422" s="1" t="n">
        <v>45586</v>
      </c>
      <c r="D5422" t="inlineStr">
        <is>
          <t>VÄSTRA GÖTALANDS LÄN</t>
        </is>
      </c>
      <c r="E5422" t="inlineStr">
        <is>
          <t>HÄRRYDA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12978-2021</t>
        </is>
      </c>
      <c r="B5423" s="1" t="n">
        <v>44271</v>
      </c>
      <c r="C5423" s="1" t="n">
        <v>45586</v>
      </c>
      <c r="D5423" t="inlineStr">
        <is>
          <t>VÄSTRA GÖTALANDS LÄN</t>
        </is>
      </c>
      <c r="E5423" t="inlineStr">
        <is>
          <t>LERUM</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13172-2021</t>
        </is>
      </c>
      <c r="B5424" s="1" t="n">
        <v>44272</v>
      </c>
      <c r="C5424" s="1" t="n">
        <v>45586</v>
      </c>
      <c r="D5424" t="inlineStr">
        <is>
          <t>VÄSTRA GÖTALANDS LÄN</t>
        </is>
      </c>
      <c r="E5424" t="inlineStr">
        <is>
          <t>MARK</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13247-2021</t>
        </is>
      </c>
      <c r="B5425" s="1" t="n">
        <v>44272</v>
      </c>
      <c r="C5425" s="1" t="n">
        <v>45586</v>
      </c>
      <c r="D5425" t="inlineStr">
        <is>
          <t>VÄSTRA GÖTALANDS LÄN</t>
        </is>
      </c>
      <c r="E5425" t="inlineStr">
        <is>
          <t>GÖTENE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13053-2021</t>
        </is>
      </c>
      <c r="B5426" s="1" t="n">
        <v>44272</v>
      </c>
      <c r="C5426" s="1" t="n">
        <v>45586</v>
      </c>
      <c r="D5426" t="inlineStr">
        <is>
          <t>VÄSTRA GÖTALANDS LÄN</t>
        </is>
      </c>
      <c r="E5426" t="inlineStr">
        <is>
          <t>TIBRO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13128-2021</t>
        </is>
      </c>
      <c r="B5427" s="1" t="n">
        <v>44272</v>
      </c>
      <c r="C5427" s="1" t="n">
        <v>45586</v>
      </c>
      <c r="D5427" t="inlineStr">
        <is>
          <t>VÄSTRA GÖTALANDS LÄN</t>
        </is>
      </c>
      <c r="E5427" t="inlineStr">
        <is>
          <t>MARK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13245-2021</t>
        </is>
      </c>
      <c r="B5428" s="1" t="n">
        <v>44272</v>
      </c>
      <c r="C5428" s="1" t="n">
        <v>45586</v>
      </c>
      <c r="D5428" t="inlineStr">
        <is>
          <t>VÄSTRA GÖTALANDS LÄN</t>
        </is>
      </c>
      <c r="E5428" t="inlineStr">
        <is>
          <t>GÖTENE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13260-2021</t>
        </is>
      </c>
      <c r="B5429" s="1" t="n">
        <v>44272</v>
      </c>
      <c r="C5429" s="1" t="n">
        <v>45586</v>
      </c>
      <c r="D5429" t="inlineStr">
        <is>
          <t>VÄSTRA GÖTALANDS LÄN</t>
        </is>
      </c>
      <c r="E5429" t="inlineStr">
        <is>
          <t>TRANEMO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13413-2021</t>
        </is>
      </c>
      <c r="B5430" s="1" t="n">
        <v>44273</v>
      </c>
      <c r="C5430" s="1" t="n">
        <v>45586</v>
      </c>
      <c r="D5430" t="inlineStr">
        <is>
          <t>VÄSTRA GÖTALANDS LÄN</t>
        </is>
      </c>
      <c r="E5430" t="inlineStr">
        <is>
          <t>DALS-ED</t>
        </is>
      </c>
      <c r="F5430" t="inlineStr">
        <is>
          <t>Övriga Aktiebolag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13530-2021</t>
        </is>
      </c>
      <c r="B5431" s="1" t="n">
        <v>44273</v>
      </c>
      <c r="C5431" s="1" t="n">
        <v>45586</v>
      </c>
      <c r="D5431" t="inlineStr">
        <is>
          <t>VÄSTRA GÖTALANDS LÄN</t>
        </is>
      </c>
      <c r="E5431" t="inlineStr">
        <is>
          <t>TROLLHÄTTAN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13366-2021</t>
        </is>
      </c>
      <c r="B5432" s="1" t="n">
        <v>44273</v>
      </c>
      <c r="C5432" s="1" t="n">
        <v>45586</v>
      </c>
      <c r="D5432" t="inlineStr">
        <is>
          <t>VÄSTRA GÖTALANDS LÄN</t>
        </is>
      </c>
      <c r="E5432" t="inlineStr">
        <is>
          <t>MARK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13391-2021</t>
        </is>
      </c>
      <c r="B5433" s="1" t="n">
        <v>44273</v>
      </c>
      <c r="C5433" s="1" t="n">
        <v>45586</v>
      </c>
      <c r="D5433" t="inlineStr">
        <is>
          <t>VÄSTRA GÖTALANDS LÄN</t>
        </is>
      </c>
      <c r="E5433" t="inlineStr">
        <is>
          <t>TÖREBODA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13389-2021</t>
        </is>
      </c>
      <c r="B5434" s="1" t="n">
        <v>44273</v>
      </c>
      <c r="C5434" s="1" t="n">
        <v>45586</v>
      </c>
      <c r="D5434" t="inlineStr">
        <is>
          <t>VÄSTRA GÖTALANDS LÄN</t>
        </is>
      </c>
      <c r="E5434" t="inlineStr">
        <is>
          <t>MARK</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13461-2021</t>
        </is>
      </c>
      <c r="B5435" s="1" t="n">
        <v>44273</v>
      </c>
      <c r="C5435" s="1" t="n">
        <v>45586</v>
      </c>
      <c r="D5435" t="inlineStr">
        <is>
          <t>VÄSTRA GÖTALANDS LÄN</t>
        </is>
      </c>
      <c r="E5435" t="inlineStr">
        <is>
          <t>TIBRO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13462-2021</t>
        </is>
      </c>
      <c r="B5436" s="1" t="n">
        <v>44273</v>
      </c>
      <c r="C5436" s="1" t="n">
        <v>45586</v>
      </c>
      <c r="D5436" t="inlineStr">
        <is>
          <t>VÄSTRA GÖTALANDS LÄN</t>
        </is>
      </c>
      <c r="E5436" t="inlineStr">
        <is>
          <t>ALE</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13498-2021</t>
        </is>
      </c>
      <c r="B5437" s="1" t="n">
        <v>44273</v>
      </c>
      <c r="C5437" s="1" t="n">
        <v>45586</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13542-2021</t>
        </is>
      </c>
      <c r="B5438" s="1" t="n">
        <v>44273</v>
      </c>
      <c r="C5438" s="1" t="n">
        <v>45586</v>
      </c>
      <c r="D5438" t="inlineStr">
        <is>
          <t>VÄSTRA GÖTALANDS LÄN</t>
        </is>
      </c>
      <c r="E5438" t="inlineStr">
        <is>
          <t>TIDAHOLM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13551-2021</t>
        </is>
      </c>
      <c r="B5439" s="1" t="n">
        <v>44273</v>
      </c>
      <c r="C5439" s="1" t="n">
        <v>45586</v>
      </c>
      <c r="D5439" t="inlineStr">
        <is>
          <t>VÄSTRA GÖTALANDS LÄN</t>
        </is>
      </c>
      <c r="E5439" t="inlineStr">
        <is>
          <t>FÄRGELANDA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13602-2021</t>
        </is>
      </c>
      <c r="B5440" s="1" t="n">
        <v>44274</v>
      </c>
      <c r="C5440" s="1" t="n">
        <v>45586</v>
      </c>
      <c r="D5440" t="inlineStr">
        <is>
          <t>VÄSTRA GÖTALANDS LÄN</t>
        </is>
      </c>
      <c r="E5440" t="inlineStr">
        <is>
          <t>ESSUNGA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13610-2021</t>
        </is>
      </c>
      <c r="B5441" s="1" t="n">
        <v>44274</v>
      </c>
      <c r="C5441" s="1" t="n">
        <v>45586</v>
      </c>
      <c r="D5441" t="inlineStr">
        <is>
          <t>VÄSTRA GÖTALANDS LÄN</t>
        </is>
      </c>
      <c r="E5441" t="inlineStr">
        <is>
          <t>TIDAHOLM</t>
        </is>
      </c>
      <c r="F5441" t="inlineStr">
        <is>
          <t>Sveaskog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13621-2021</t>
        </is>
      </c>
      <c r="B5442" s="1" t="n">
        <v>44274</v>
      </c>
      <c r="C5442" s="1" t="n">
        <v>45586</v>
      </c>
      <c r="D5442" t="inlineStr">
        <is>
          <t>VÄSTRA GÖTALANDS LÄN</t>
        </is>
      </c>
      <c r="E5442" t="inlineStr">
        <is>
          <t>TIDAHOLM</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13692-2021</t>
        </is>
      </c>
      <c r="B5443" s="1" t="n">
        <v>44274</v>
      </c>
      <c r="C5443" s="1" t="n">
        <v>45586</v>
      </c>
      <c r="D5443" t="inlineStr">
        <is>
          <t>VÄSTRA GÖTALANDS LÄN</t>
        </is>
      </c>
      <c r="E5443" t="inlineStr">
        <is>
          <t>HÄRRYDA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13583-2021</t>
        </is>
      </c>
      <c r="B5444" s="1" t="n">
        <v>44274</v>
      </c>
      <c r="C5444" s="1" t="n">
        <v>45586</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13589-2021</t>
        </is>
      </c>
      <c r="B5445" s="1" t="n">
        <v>44274</v>
      </c>
      <c r="C5445" s="1" t="n">
        <v>45586</v>
      </c>
      <c r="D5445" t="inlineStr">
        <is>
          <t>VÄSTRA GÖTALANDS LÄN</t>
        </is>
      </c>
      <c r="E5445" t="inlineStr">
        <is>
          <t>FÄRGELANDA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13608-2021</t>
        </is>
      </c>
      <c r="B5446" s="1" t="n">
        <v>44274</v>
      </c>
      <c r="C5446" s="1" t="n">
        <v>45586</v>
      </c>
      <c r="D5446" t="inlineStr">
        <is>
          <t>VÄSTRA GÖTALANDS LÄN</t>
        </is>
      </c>
      <c r="E5446" t="inlineStr">
        <is>
          <t>TRANEMO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13586-2021</t>
        </is>
      </c>
      <c r="B5447" s="1" t="n">
        <v>44274</v>
      </c>
      <c r="C5447" s="1" t="n">
        <v>45586</v>
      </c>
      <c r="D5447" t="inlineStr">
        <is>
          <t>VÄSTRA GÖTALANDS LÄN</t>
        </is>
      </c>
      <c r="E5447" t="inlineStr">
        <is>
          <t>BORÅS</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13664-2021</t>
        </is>
      </c>
      <c r="B5448" s="1" t="n">
        <v>44274</v>
      </c>
      <c r="C5448" s="1" t="n">
        <v>45586</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13725-2021</t>
        </is>
      </c>
      <c r="B5449" s="1" t="n">
        <v>44274</v>
      </c>
      <c r="C5449" s="1" t="n">
        <v>45586</v>
      </c>
      <c r="D5449" t="inlineStr">
        <is>
          <t>VÄSTRA GÖTALANDS LÄN</t>
        </is>
      </c>
      <c r="E5449" t="inlineStr">
        <is>
          <t>VARA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13584-2021</t>
        </is>
      </c>
      <c r="B5450" s="1" t="n">
        <v>44274</v>
      </c>
      <c r="C5450" s="1" t="n">
        <v>45586</v>
      </c>
      <c r="D5450" t="inlineStr">
        <is>
          <t>VÄSTRA GÖTALANDS LÄN</t>
        </is>
      </c>
      <c r="E5450" t="inlineStr">
        <is>
          <t>BORÅS</t>
        </is>
      </c>
      <c r="F5450" t="inlineStr">
        <is>
          <t>Kyrkan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13644-2021</t>
        </is>
      </c>
      <c r="B5451" s="1" t="n">
        <v>44274</v>
      </c>
      <c r="C5451" s="1" t="n">
        <v>45586</v>
      </c>
      <c r="D5451" t="inlineStr">
        <is>
          <t>VÄSTRA GÖTALANDS LÄN</t>
        </is>
      </c>
      <c r="E5451" t="inlineStr">
        <is>
          <t>BOLLEBYGD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13884-2021</t>
        </is>
      </c>
      <c r="B5452" s="1" t="n">
        <v>44277</v>
      </c>
      <c r="C5452" s="1" t="n">
        <v>45586</v>
      </c>
      <c r="D5452" t="inlineStr">
        <is>
          <t>VÄSTRA GÖTALANDS LÄN</t>
        </is>
      </c>
      <c r="E5452" t="inlineStr">
        <is>
          <t>MUNKEDAL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13908-2021</t>
        </is>
      </c>
      <c r="B5453" s="1" t="n">
        <v>44277</v>
      </c>
      <c r="C5453" s="1" t="n">
        <v>45586</v>
      </c>
      <c r="D5453" t="inlineStr">
        <is>
          <t>VÄSTRA GÖTALANDS LÄN</t>
        </is>
      </c>
      <c r="E5453" t="inlineStr">
        <is>
          <t>UDDEVALLA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13940-2021</t>
        </is>
      </c>
      <c r="B5454" s="1" t="n">
        <v>44277</v>
      </c>
      <c r="C5454" s="1" t="n">
        <v>45586</v>
      </c>
      <c r="D5454" t="inlineStr">
        <is>
          <t>VÄSTRA GÖTALANDS LÄN</t>
        </is>
      </c>
      <c r="E5454" t="inlineStr">
        <is>
          <t>DALS-ED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14007-2021</t>
        </is>
      </c>
      <c r="B5455" s="1" t="n">
        <v>44277</v>
      </c>
      <c r="C5455" s="1" t="n">
        <v>45586</v>
      </c>
      <c r="D5455" t="inlineStr">
        <is>
          <t>VÄSTRA GÖTALANDS LÄN</t>
        </is>
      </c>
      <c r="E5455" t="inlineStr">
        <is>
          <t>TANUM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14037-2021</t>
        </is>
      </c>
      <c r="B5456" s="1" t="n">
        <v>44277</v>
      </c>
      <c r="C5456" s="1" t="n">
        <v>45586</v>
      </c>
      <c r="D5456" t="inlineStr">
        <is>
          <t>VÄSTRA GÖTALANDS LÄN</t>
        </is>
      </c>
      <c r="E5456" t="inlineStr">
        <is>
          <t>ESSUNGA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14038-2021</t>
        </is>
      </c>
      <c r="B5457" s="1" t="n">
        <v>44277</v>
      </c>
      <c r="C5457" s="1" t="n">
        <v>45586</v>
      </c>
      <c r="D5457" t="inlineStr">
        <is>
          <t>VÄSTRA GÖTALANDS LÄN</t>
        </is>
      </c>
      <c r="E5457" t="inlineStr">
        <is>
          <t>SKÖVDE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13998-2021</t>
        </is>
      </c>
      <c r="B5458" s="1" t="n">
        <v>44277</v>
      </c>
      <c r="C5458" s="1" t="n">
        <v>45586</v>
      </c>
      <c r="D5458" t="inlineStr">
        <is>
          <t>VÄSTRA GÖTALANDS LÄN</t>
        </is>
      </c>
      <c r="E5458" t="inlineStr">
        <is>
          <t>DALS-ED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13936-2021</t>
        </is>
      </c>
      <c r="B5459" s="1" t="n">
        <v>44277</v>
      </c>
      <c r="C5459" s="1" t="n">
        <v>45586</v>
      </c>
      <c r="D5459" t="inlineStr">
        <is>
          <t>VÄSTRA GÖTALANDS LÄN</t>
        </is>
      </c>
      <c r="E5459" t="inlineStr">
        <is>
          <t>BENGTSFORS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13949-2021</t>
        </is>
      </c>
      <c r="B5460" s="1" t="n">
        <v>44277</v>
      </c>
      <c r="C5460" s="1" t="n">
        <v>45586</v>
      </c>
      <c r="D5460" t="inlineStr">
        <is>
          <t>VÄSTRA GÖTALANDS LÄN</t>
        </is>
      </c>
      <c r="E5460" t="inlineStr">
        <is>
          <t>DALS-ED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13969-2021</t>
        </is>
      </c>
      <c r="B5461" s="1" t="n">
        <v>44277</v>
      </c>
      <c r="C5461" s="1" t="n">
        <v>45586</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14043-2021</t>
        </is>
      </c>
      <c r="B5462" s="1" t="n">
        <v>44277</v>
      </c>
      <c r="C5462" s="1" t="n">
        <v>45586</v>
      </c>
      <c r="D5462" t="inlineStr">
        <is>
          <t>VÄSTRA GÖTALANDS LÄN</t>
        </is>
      </c>
      <c r="E5462" t="inlineStr">
        <is>
          <t>SKÖVDE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14093-2021</t>
        </is>
      </c>
      <c r="B5463" s="1" t="n">
        <v>44278</v>
      </c>
      <c r="C5463" s="1" t="n">
        <v>45586</v>
      </c>
      <c r="D5463" t="inlineStr">
        <is>
          <t>VÄSTRA GÖTALANDS LÄN</t>
        </is>
      </c>
      <c r="E5463" t="inlineStr">
        <is>
          <t>GULLSPÅNG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14234-2021</t>
        </is>
      </c>
      <c r="B5464" s="1" t="n">
        <v>44278</v>
      </c>
      <c r="C5464" s="1" t="n">
        <v>45586</v>
      </c>
      <c r="D5464" t="inlineStr">
        <is>
          <t>VÄSTRA GÖTALANDS LÄN</t>
        </is>
      </c>
      <c r="E5464" t="inlineStr">
        <is>
          <t>VÅRGÅRDA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14274-2021</t>
        </is>
      </c>
      <c r="B5465" s="1" t="n">
        <v>44278</v>
      </c>
      <c r="C5465" s="1" t="n">
        <v>45586</v>
      </c>
      <c r="D5465" t="inlineStr">
        <is>
          <t>VÄSTRA GÖTALANDS LÄN</t>
        </is>
      </c>
      <c r="E5465" t="inlineStr">
        <is>
          <t>GULLSPÅNG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14284-2021</t>
        </is>
      </c>
      <c r="B5466" s="1" t="n">
        <v>44278</v>
      </c>
      <c r="C5466" s="1" t="n">
        <v>45586</v>
      </c>
      <c r="D5466" t="inlineStr">
        <is>
          <t>VÄSTRA GÖTALANDS LÄN</t>
        </is>
      </c>
      <c r="E5466" t="inlineStr">
        <is>
          <t>GULLSPÅNG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14112-2021</t>
        </is>
      </c>
      <c r="B5467" s="1" t="n">
        <v>44278</v>
      </c>
      <c r="C5467" s="1" t="n">
        <v>45586</v>
      </c>
      <c r="D5467" t="inlineStr">
        <is>
          <t>VÄSTRA GÖTALANDS LÄN</t>
        </is>
      </c>
      <c r="E5467" t="inlineStr">
        <is>
          <t>GULLSPÅNG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14250-2021</t>
        </is>
      </c>
      <c r="B5468" s="1" t="n">
        <v>44278</v>
      </c>
      <c r="C5468" s="1" t="n">
        <v>45586</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14330-2021</t>
        </is>
      </c>
      <c r="B5469" s="1" t="n">
        <v>44278</v>
      </c>
      <c r="C5469" s="1" t="n">
        <v>45586</v>
      </c>
      <c r="D5469" t="inlineStr">
        <is>
          <t>VÄSTRA GÖTALANDS LÄN</t>
        </is>
      </c>
      <c r="E5469" t="inlineStr">
        <is>
          <t>FALKÖPING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14271-2021</t>
        </is>
      </c>
      <c r="B5470" s="1" t="n">
        <v>44278</v>
      </c>
      <c r="C5470" s="1" t="n">
        <v>45586</v>
      </c>
      <c r="D5470" t="inlineStr">
        <is>
          <t>VÄSTRA GÖTALANDS LÄN</t>
        </is>
      </c>
      <c r="E5470" t="inlineStr">
        <is>
          <t>GÖTEBORG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14349-2021</t>
        </is>
      </c>
      <c r="B5471" s="1" t="n">
        <v>44278</v>
      </c>
      <c r="C5471" s="1" t="n">
        <v>45586</v>
      </c>
      <c r="D5471" t="inlineStr">
        <is>
          <t>VÄSTRA GÖTALANDS LÄN</t>
        </is>
      </c>
      <c r="E5471" t="inlineStr">
        <is>
          <t>HÄRRYDA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14333-2021</t>
        </is>
      </c>
      <c r="B5472" s="1" t="n">
        <v>44279</v>
      </c>
      <c r="C5472" s="1" t="n">
        <v>45586</v>
      </c>
      <c r="D5472" t="inlineStr">
        <is>
          <t>VÄSTRA GÖTALANDS LÄN</t>
        </is>
      </c>
      <c r="E5472" t="inlineStr">
        <is>
          <t>TIDAHOLM</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14398-2021</t>
        </is>
      </c>
      <c r="B5473" s="1" t="n">
        <v>44279</v>
      </c>
      <c r="C5473" s="1" t="n">
        <v>45586</v>
      </c>
      <c r="D5473" t="inlineStr">
        <is>
          <t>VÄSTRA GÖTALANDS LÄN</t>
        </is>
      </c>
      <c r="E5473" t="inlineStr">
        <is>
          <t>FÄRGELANDA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14411-2021</t>
        </is>
      </c>
      <c r="B5474" s="1" t="n">
        <v>44279</v>
      </c>
      <c r="C5474" s="1" t="n">
        <v>45586</v>
      </c>
      <c r="D5474" t="inlineStr">
        <is>
          <t>VÄSTRA GÖTALANDS LÄN</t>
        </is>
      </c>
      <c r="E5474" t="inlineStr">
        <is>
          <t>UDDEVALLA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14468-2021</t>
        </is>
      </c>
      <c r="B5475" s="1" t="n">
        <v>44279</v>
      </c>
      <c r="C5475" s="1" t="n">
        <v>45586</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14495-2021</t>
        </is>
      </c>
      <c r="B5476" s="1" t="n">
        <v>44279</v>
      </c>
      <c r="C5476" s="1" t="n">
        <v>45586</v>
      </c>
      <c r="D5476" t="inlineStr">
        <is>
          <t>VÄSTRA GÖTALANDS LÄN</t>
        </is>
      </c>
      <c r="E5476" t="inlineStr">
        <is>
          <t>MARIESTAD</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14422-2021</t>
        </is>
      </c>
      <c r="B5477" s="1" t="n">
        <v>44279</v>
      </c>
      <c r="C5477" s="1" t="n">
        <v>45586</v>
      </c>
      <c r="D5477" t="inlineStr">
        <is>
          <t>VÄSTRA GÖTALANDS LÄN</t>
        </is>
      </c>
      <c r="E5477" t="inlineStr">
        <is>
          <t>MELLERUD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14549-2021</t>
        </is>
      </c>
      <c r="B5478" s="1" t="n">
        <v>44279</v>
      </c>
      <c r="C5478" s="1" t="n">
        <v>45586</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14421-2021</t>
        </is>
      </c>
      <c r="B5479" s="1" t="n">
        <v>44279</v>
      </c>
      <c r="C5479" s="1" t="n">
        <v>45586</v>
      </c>
      <c r="D5479" t="inlineStr">
        <is>
          <t>VÄSTRA GÖTALANDS LÄN</t>
        </is>
      </c>
      <c r="E5479" t="inlineStr">
        <is>
          <t>SKÖVDE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14517-2021</t>
        </is>
      </c>
      <c r="B5480" s="1" t="n">
        <v>44279</v>
      </c>
      <c r="C5480" s="1" t="n">
        <v>45586</v>
      </c>
      <c r="D5480" t="inlineStr">
        <is>
          <t>VÄSTRA GÖTALANDS LÄN</t>
        </is>
      </c>
      <c r="E5480" t="inlineStr">
        <is>
          <t>ALE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14609-2021</t>
        </is>
      </c>
      <c r="B5481" s="1" t="n">
        <v>44280</v>
      </c>
      <c r="C5481" s="1" t="n">
        <v>45586</v>
      </c>
      <c r="D5481" t="inlineStr">
        <is>
          <t>VÄSTRA GÖTALANDS LÄN</t>
        </is>
      </c>
      <c r="E5481" t="inlineStr">
        <is>
          <t>TÖREBODA</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14688-2021</t>
        </is>
      </c>
      <c r="B5482" s="1" t="n">
        <v>44280</v>
      </c>
      <c r="C5482" s="1" t="n">
        <v>45586</v>
      </c>
      <c r="D5482" t="inlineStr">
        <is>
          <t>VÄSTRA GÖTALANDS LÄN</t>
        </is>
      </c>
      <c r="E5482" t="inlineStr">
        <is>
          <t>HÄRRYDA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14766-2021</t>
        </is>
      </c>
      <c r="B5483" s="1" t="n">
        <v>44280</v>
      </c>
      <c r="C5483" s="1" t="n">
        <v>45586</v>
      </c>
      <c r="D5483" t="inlineStr">
        <is>
          <t>VÄSTRA GÖTALANDS LÄN</t>
        </is>
      </c>
      <c r="E5483" t="inlineStr">
        <is>
          <t>BOLLEBYGD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14819-2021</t>
        </is>
      </c>
      <c r="B5484" s="1" t="n">
        <v>44280</v>
      </c>
      <c r="C5484" s="1" t="n">
        <v>45586</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14832-2021</t>
        </is>
      </c>
      <c r="B5485" s="1" t="n">
        <v>44280</v>
      </c>
      <c r="C5485" s="1" t="n">
        <v>45586</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14659-2021</t>
        </is>
      </c>
      <c r="B5486" s="1" t="n">
        <v>44280</v>
      </c>
      <c r="C5486" s="1" t="n">
        <v>45586</v>
      </c>
      <c r="D5486" t="inlineStr">
        <is>
          <t>VÄSTRA GÖTALANDS LÄN</t>
        </is>
      </c>
      <c r="E5486" t="inlineStr">
        <is>
          <t>ULRICEHAMN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14716-2021</t>
        </is>
      </c>
      <c r="B5487" s="1" t="n">
        <v>44280</v>
      </c>
      <c r="C5487" s="1" t="n">
        <v>45586</v>
      </c>
      <c r="D5487" t="inlineStr">
        <is>
          <t>VÄSTRA GÖTALANDS LÄN</t>
        </is>
      </c>
      <c r="E5487" t="inlineStr">
        <is>
          <t>LILLA EDET</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14821-2021</t>
        </is>
      </c>
      <c r="B5488" s="1" t="n">
        <v>44280</v>
      </c>
      <c r="C5488" s="1" t="n">
        <v>45586</v>
      </c>
      <c r="D5488" t="inlineStr">
        <is>
          <t>VÄSTRA GÖTALANDS LÄN</t>
        </is>
      </c>
      <c r="E5488" t="inlineStr">
        <is>
          <t>TROLLHÄTTAN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14708-2021</t>
        </is>
      </c>
      <c r="B5489" s="1" t="n">
        <v>44280</v>
      </c>
      <c r="C5489" s="1" t="n">
        <v>45586</v>
      </c>
      <c r="D5489" t="inlineStr">
        <is>
          <t>VÄSTRA GÖTALANDS LÄN</t>
        </is>
      </c>
      <c r="E5489" t="inlineStr">
        <is>
          <t>VÄNERSBORG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14732-2021</t>
        </is>
      </c>
      <c r="B5490" s="1" t="n">
        <v>44280</v>
      </c>
      <c r="C5490" s="1" t="n">
        <v>45586</v>
      </c>
      <c r="D5490" t="inlineStr">
        <is>
          <t>VÄSTRA GÖTALANDS LÄN</t>
        </is>
      </c>
      <c r="E5490" t="inlineStr">
        <is>
          <t>BORÅS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14754-2021</t>
        </is>
      </c>
      <c r="B5491" s="1" t="n">
        <v>44280</v>
      </c>
      <c r="C5491" s="1" t="n">
        <v>45586</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14782-2021</t>
        </is>
      </c>
      <c r="B5492" s="1" t="n">
        <v>44280</v>
      </c>
      <c r="C5492" s="1" t="n">
        <v>45586</v>
      </c>
      <c r="D5492" t="inlineStr">
        <is>
          <t>VÄSTRA GÖTALANDS LÄN</t>
        </is>
      </c>
      <c r="E5492" t="inlineStr">
        <is>
          <t>STENUNGSUND</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14820-2021</t>
        </is>
      </c>
      <c r="B5493" s="1" t="n">
        <v>44280</v>
      </c>
      <c r="C5493" s="1" t="n">
        <v>45586</v>
      </c>
      <c r="D5493" t="inlineStr">
        <is>
          <t>VÄSTRA GÖTALANDS LÄN</t>
        </is>
      </c>
      <c r="E5493" t="inlineStr">
        <is>
          <t>TROLLHÄTTAN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14873-2021</t>
        </is>
      </c>
      <c r="B5494" s="1" t="n">
        <v>44281</v>
      </c>
      <c r="C5494" s="1" t="n">
        <v>45586</v>
      </c>
      <c r="D5494" t="inlineStr">
        <is>
          <t>VÄSTRA GÖTALANDS LÄN</t>
        </is>
      </c>
      <c r="E5494" t="inlineStr">
        <is>
          <t>MARK</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14968-2021</t>
        </is>
      </c>
      <c r="B5495" s="1" t="n">
        <v>44281</v>
      </c>
      <c r="C5495" s="1" t="n">
        <v>45586</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15009-2021</t>
        </is>
      </c>
      <c r="B5496" s="1" t="n">
        <v>44281</v>
      </c>
      <c r="C5496" s="1" t="n">
        <v>45586</v>
      </c>
      <c r="D5496" t="inlineStr">
        <is>
          <t>VÄSTRA GÖTALANDS LÄN</t>
        </is>
      </c>
      <c r="E5496" t="inlineStr">
        <is>
          <t>DALS-ED</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14994-2021</t>
        </is>
      </c>
      <c r="B5497" s="1" t="n">
        <v>44281</v>
      </c>
      <c r="C5497" s="1" t="n">
        <v>45586</v>
      </c>
      <c r="D5497" t="inlineStr">
        <is>
          <t>VÄSTRA GÖTALANDS LÄN</t>
        </is>
      </c>
      <c r="E5497" t="inlineStr">
        <is>
          <t>TROLLHÄTTAN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15116-2021</t>
        </is>
      </c>
      <c r="B5498" s="1" t="n">
        <v>44282</v>
      </c>
      <c r="C5498" s="1" t="n">
        <v>45586</v>
      </c>
      <c r="D5498" t="inlineStr">
        <is>
          <t>VÄSTRA GÖTALANDS LÄN</t>
        </is>
      </c>
      <c r="E5498" t="inlineStr">
        <is>
          <t>ÅMÅL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15117-2021</t>
        </is>
      </c>
      <c r="B5499" s="1" t="n">
        <v>44282</v>
      </c>
      <c r="C5499" s="1" t="n">
        <v>45586</v>
      </c>
      <c r="D5499" t="inlineStr">
        <is>
          <t>VÄSTRA GÖTALANDS LÄN</t>
        </is>
      </c>
      <c r="E5499" t="inlineStr">
        <is>
          <t>VÅRGÅRDA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15291-2021</t>
        </is>
      </c>
      <c r="B5500" s="1" t="n">
        <v>44284</v>
      </c>
      <c r="C5500" s="1" t="n">
        <v>45586</v>
      </c>
      <c r="D5500" t="inlineStr">
        <is>
          <t>VÄSTRA GÖTALANDS LÄN</t>
        </is>
      </c>
      <c r="E5500" t="inlineStr">
        <is>
          <t>VÅRGÅRDA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15385-2021</t>
        </is>
      </c>
      <c r="B5501" s="1" t="n">
        <v>44285</v>
      </c>
      <c r="C5501" s="1" t="n">
        <v>45586</v>
      </c>
      <c r="D5501" t="inlineStr">
        <is>
          <t>VÄSTRA GÖTALANDS LÄN</t>
        </is>
      </c>
      <c r="E5501" t="inlineStr">
        <is>
          <t>MELLERUD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15335-2021</t>
        </is>
      </c>
      <c r="B5502" s="1" t="n">
        <v>44284</v>
      </c>
      <c r="C5502" s="1" t="n">
        <v>45586</v>
      </c>
      <c r="D5502" t="inlineStr">
        <is>
          <t>VÄSTRA GÖTALANDS LÄN</t>
        </is>
      </c>
      <c r="E5502" t="inlineStr">
        <is>
          <t>GULLSPÅNG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15383-2021</t>
        </is>
      </c>
      <c r="B5503" s="1" t="n">
        <v>44284</v>
      </c>
      <c r="C5503" s="1" t="n">
        <v>45586</v>
      </c>
      <c r="D5503" t="inlineStr">
        <is>
          <t>VÄSTRA GÖTALANDS LÄN</t>
        </is>
      </c>
      <c r="E5503" t="inlineStr">
        <is>
          <t>MELLERUD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15443-2021</t>
        </is>
      </c>
      <c r="B5504" s="1" t="n">
        <v>44285</v>
      </c>
      <c r="C5504" s="1" t="n">
        <v>45586</v>
      </c>
      <c r="D5504" t="inlineStr">
        <is>
          <t>VÄSTRA GÖTALANDS LÄN</t>
        </is>
      </c>
      <c r="E5504" t="inlineStr">
        <is>
          <t>SVENLJUNGA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15450-2021</t>
        </is>
      </c>
      <c r="B5505" s="1" t="n">
        <v>44285</v>
      </c>
      <c r="C5505" s="1" t="n">
        <v>45586</v>
      </c>
      <c r="D5505" t="inlineStr">
        <is>
          <t>VÄSTRA GÖTALANDS LÄN</t>
        </is>
      </c>
      <c r="E5505" t="inlineStr">
        <is>
          <t>TANUM</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15490-2021</t>
        </is>
      </c>
      <c r="B5506" s="1" t="n">
        <v>44285</v>
      </c>
      <c r="C5506" s="1" t="n">
        <v>45586</v>
      </c>
      <c r="D5506" t="inlineStr">
        <is>
          <t>VÄSTRA GÖTALANDS LÄN</t>
        </is>
      </c>
      <c r="E5506" t="inlineStr">
        <is>
          <t>TANUM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15424-2021</t>
        </is>
      </c>
      <c r="B5507" s="1" t="n">
        <v>44285</v>
      </c>
      <c r="C5507" s="1" t="n">
        <v>45586</v>
      </c>
      <c r="D5507" t="inlineStr">
        <is>
          <t>VÄSTRA GÖTALANDS LÄN</t>
        </is>
      </c>
      <c r="E5507" t="inlineStr">
        <is>
          <t>TANUM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15458-2021</t>
        </is>
      </c>
      <c r="B5508" s="1" t="n">
        <v>44285</v>
      </c>
      <c r="C5508" s="1" t="n">
        <v>45586</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15482-2021</t>
        </is>
      </c>
      <c r="B5509" s="1" t="n">
        <v>44285</v>
      </c>
      <c r="C5509" s="1" t="n">
        <v>45586</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15489-2021</t>
        </is>
      </c>
      <c r="B5510" s="1" t="n">
        <v>44285</v>
      </c>
      <c r="C5510" s="1" t="n">
        <v>45586</v>
      </c>
      <c r="D5510" t="inlineStr">
        <is>
          <t>VÄSTRA GÖTALANDS LÄN</t>
        </is>
      </c>
      <c r="E5510" t="inlineStr">
        <is>
          <t>TANUM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15484-2021</t>
        </is>
      </c>
      <c r="B5511" s="1" t="n">
        <v>44285</v>
      </c>
      <c r="C5511" s="1" t="n">
        <v>45586</v>
      </c>
      <c r="D5511" t="inlineStr">
        <is>
          <t>VÄSTRA GÖTALANDS LÄN</t>
        </is>
      </c>
      <c r="E5511" t="inlineStr">
        <is>
          <t>TANUM</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15620-2021</t>
        </is>
      </c>
      <c r="B5512" s="1" t="n">
        <v>44285</v>
      </c>
      <c r="C5512" s="1" t="n">
        <v>45586</v>
      </c>
      <c r="D5512" t="inlineStr">
        <is>
          <t>VÄSTRA GÖTALANDS LÄN</t>
        </is>
      </c>
      <c r="E5512" t="inlineStr">
        <is>
          <t>KARLSBORG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15565-2021</t>
        </is>
      </c>
      <c r="B5513" s="1" t="n">
        <v>44285</v>
      </c>
      <c r="C5513" s="1" t="n">
        <v>45586</v>
      </c>
      <c r="D5513" t="inlineStr">
        <is>
          <t>VÄSTRA GÖTALANDS LÄN</t>
        </is>
      </c>
      <c r="E5513" t="inlineStr">
        <is>
          <t>MARK</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15583-2021</t>
        </is>
      </c>
      <c r="B5514" s="1" t="n">
        <v>44285</v>
      </c>
      <c r="C5514" s="1" t="n">
        <v>45586</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15711-2021</t>
        </is>
      </c>
      <c r="B5515" s="1" t="n">
        <v>44286</v>
      </c>
      <c r="C5515" s="1" t="n">
        <v>45586</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15732-2021</t>
        </is>
      </c>
      <c r="B5516" s="1" t="n">
        <v>44286</v>
      </c>
      <c r="C5516" s="1" t="n">
        <v>45586</v>
      </c>
      <c r="D5516" t="inlineStr">
        <is>
          <t>VÄSTRA GÖTALANDS LÄN</t>
        </is>
      </c>
      <c r="E5516" t="inlineStr">
        <is>
          <t>HÄRRYDA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15737-2021</t>
        </is>
      </c>
      <c r="B5517" s="1" t="n">
        <v>44286</v>
      </c>
      <c r="C5517" s="1" t="n">
        <v>45586</v>
      </c>
      <c r="D5517" t="inlineStr">
        <is>
          <t>VÄSTRA GÖTALANDS LÄN</t>
        </is>
      </c>
      <c r="E5517" t="inlineStr">
        <is>
          <t>TIDAHOLM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15803-2021</t>
        </is>
      </c>
      <c r="B5518" s="1" t="n">
        <v>44286</v>
      </c>
      <c r="C5518" s="1" t="n">
        <v>45586</v>
      </c>
      <c r="D5518" t="inlineStr">
        <is>
          <t>VÄSTRA GÖTALANDS LÄN</t>
        </is>
      </c>
      <c r="E5518" t="inlineStr">
        <is>
          <t>MARK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15861-2021</t>
        </is>
      </c>
      <c r="B5519" s="1" t="n">
        <v>44286</v>
      </c>
      <c r="C5519" s="1" t="n">
        <v>45586</v>
      </c>
      <c r="D5519" t="inlineStr">
        <is>
          <t>VÄSTRA GÖTALANDS LÄN</t>
        </is>
      </c>
      <c r="E5519" t="inlineStr">
        <is>
          <t>TROLLHÄTTAN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15959-2021</t>
        </is>
      </c>
      <c r="B5520" s="1" t="n">
        <v>44287</v>
      </c>
      <c r="C5520" s="1" t="n">
        <v>45586</v>
      </c>
      <c r="D5520" t="inlineStr">
        <is>
          <t>VÄSTRA GÖTALANDS LÄN</t>
        </is>
      </c>
      <c r="E5520" t="inlineStr">
        <is>
          <t>STRÖMSTAD</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15974-2021</t>
        </is>
      </c>
      <c r="B5521" s="1" t="n">
        <v>44287</v>
      </c>
      <c r="C5521" s="1" t="n">
        <v>45586</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15970-2021</t>
        </is>
      </c>
      <c r="B5522" s="1" t="n">
        <v>44287</v>
      </c>
      <c r="C5522" s="1" t="n">
        <v>45586</v>
      </c>
      <c r="D5522" t="inlineStr">
        <is>
          <t>VÄSTRA GÖTALANDS LÄN</t>
        </is>
      </c>
      <c r="E5522" t="inlineStr">
        <is>
          <t>TÖREBODA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16113-2021</t>
        </is>
      </c>
      <c r="B5523" s="1" t="n">
        <v>44291</v>
      </c>
      <c r="C5523" s="1" t="n">
        <v>45586</v>
      </c>
      <c r="D5523" t="inlineStr">
        <is>
          <t>VÄSTRA GÖTALANDS LÄN</t>
        </is>
      </c>
      <c r="E5523" t="inlineStr">
        <is>
          <t>SKÖVDE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16116-2021</t>
        </is>
      </c>
      <c r="B5524" s="1" t="n">
        <v>44291</v>
      </c>
      <c r="C5524" s="1" t="n">
        <v>45586</v>
      </c>
      <c r="D5524" t="inlineStr">
        <is>
          <t>VÄSTRA GÖTALANDS LÄN</t>
        </is>
      </c>
      <c r="E5524" t="inlineStr">
        <is>
          <t>ESSUNGA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16277-2021</t>
        </is>
      </c>
      <c r="B5525" s="1" t="n">
        <v>44292</v>
      </c>
      <c r="C5525" s="1" t="n">
        <v>45586</v>
      </c>
      <c r="D5525" t="inlineStr">
        <is>
          <t>VÄSTRA GÖTALANDS LÄN</t>
        </is>
      </c>
      <c r="E5525" t="inlineStr">
        <is>
          <t>SKÖVDE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16198-2021</t>
        </is>
      </c>
      <c r="B5526" s="1" t="n">
        <v>44292</v>
      </c>
      <c r="C5526" s="1" t="n">
        <v>45586</v>
      </c>
      <c r="D5526" t="inlineStr">
        <is>
          <t>VÄSTRA GÖTALANDS LÄN</t>
        </is>
      </c>
      <c r="E5526" t="inlineStr">
        <is>
          <t>TANUM</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16179-2021</t>
        </is>
      </c>
      <c r="B5527" s="1" t="n">
        <v>44292</v>
      </c>
      <c r="C5527" s="1" t="n">
        <v>45586</v>
      </c>
      <c r="D5527" t="inlineStr">
        <is>
          <t>VÄSTRA GÖTALANDS LÄN</t>
        </is>
      </c>
      <c r="E5527" t="inlineStr">
        <is>
          <t>KARLSBORG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16279-2021</t>
        </is>
      </c>
      <c r="B5528" s="1" t="n">
        <v>44292</v>
      </c>
      <c r="C5528" s="1" t="n">
        <v>45586</v>
      </c>
      <c r="D5528" t="inlineStr">
        <is>
          <t>VÄSTRA GÖTALANDS LÄN</t>
        </is>
      </c>
      <c r="E5528" t="inlineStr">
        <is>
          <t>SKÖVDE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16193-2021</t>
        </is>
      </c>
      <c r="B5529" s="1" t="n">
        <v>44292</v>
      </c>
      <c r="C5529" s="1" t="n">
        <v>45586</v>
      </c>
      <c r="D5529" t="inlineStr">
        <is>
          <t>VÄSTRA GÖTALANDS LÄN</t>
        </is>
      </c>
      <c r="E5529" t="inlineStr">
        <is>
          <t>TANUM</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16246-2021</t>
        </is>
      </c>
      <c r="B5530" s="1" t="n">
        <v>44292</v>
      </c>
      <c r="C5530" s="1" t="n">
        <v>45586</v>
      </c>
      <c r="D5530" t="inlineStr">
        <is>
          <t>VÄSTRA GÖTALANDS LÄN</t>
        </is>
      </c>
      <c r="E5530" t="inlineStr">
        <is>
          <t>BORÅS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16284-2021</t>
        </is>
      </c>
      <c r="B5531" s="1" t="n">
        <v>44292</v>
      </c>
      <c r="C5531" s="1" t="n">
        <v>45586</v>
      </c>
      <c r="D5531" t="inlineStr">
        <is>
          <t>VÄSTRA GÖTALANDS LÄN</t>
        </is>
      </c>
      <c r="E5531" t="inlineStr">
        <is>
          <t>GULLSPÅNG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16380-2021</t>
        </is>
      </c>
      <c r="B5532" s="1" t="n">
        <v>44293</v>
      </c>
      <c r="C5532" s="1" t="n">
        <v>45586</v>
      </c>
      <c r="D5532" t="inlineStr">
        <is>
          <t>VÄSTRA GÖTALANDS LÄN</t>
        </is>
      </c>
      <c r="E5532" t="inlineStr">
        <is>
          <t>BORÅS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16395-2021</t>
        </is>
      </c>
      <c r="B5533" s="1" t="n">
        <v>44293</v>
      </c>
      <c r="C5533" s="1" t="n">
        <v>45586</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16434-2021</t>
        </is>
      </c>
      <c r="B5534" s="1" t="n">
        <v>44293</v>
      </c>
      <c r="C5534" s="1" t="n">
        <v>45586</v>
      </c>
      <c r="D5534" t="inlineStr">
        <is>
          <t>VÄSTRA GÖTALANDS LÄN</t>
        </is>
      </c>
      <c r="E5534" t="inlineStr">
        <is>
          <t>LIDKÖPING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16472-2021</t>
        </is>
      </c>
      <c r="B5535" s="1" t="n">
        <v>44293</v>
      </c>
      <c r="C5535" s="1" t="n">
        <v>45586</v>
      </c>
      <c r="D5535" t="inlineStr">
        <is>
          <t>VÄSTRA GÖTALANDS LÄN</t>
        </is>
      </c>
      <c r="E5535" t="inlineStr">
        <is>
          <t>TANUM</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16359-2021</t>
        </is>
      </c>
      <c r="B5536" s="1" t="n">
        <v>44293</v>
      </c>
      <c r="C5536" s="1" t="n">
        <v>45586</v>
      </c>
      <c r="D5536" t="inlineStr">
        <is>
          <t>VÄSTRA GÖTALANDS LÄN</t>
        </is>
      </c>
      <c r="E5536" t="inlineStr">
        <is>
          <t>FALKÖPING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16511-2021</t>
        </is>
      </c>
      <c r="B5537" s="1" t="n">
        <v>44293</v>
      </c>
      <c r="C5537" s="1" t="n">
        <v>45586</v>
      </c>
      <c r="D5537" t="inlineStr">
        <is>
          <t>VÄSTRA GÖTALANDS LÄN</t>
        </is>
      </c>
      <c r="E5537" t="inlineStr">
        <is>
          <t>GULLSPÅNG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16546-2021</t>
        </is>
      </c>
      <c r="B5538" s="1" t="n">
        <v>44293</v>
      </c>
      <c r="C5538" s="1" t="n">
        <v>45586</v>
      </c>
      <c r="D5538" t="inlineStr">
        <is>
          <t>VÄSTRA GÖTALANDS LÄN</t>
        </is>
      </c>
      <c r="E5538" t="inlineStr">
        <is>
          <t>FÄRGELANDA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16430-2021</t>
        </is>
      </c>
      <c r="B5539" s="1" t="n">
        <v>44293</v>
      </c>
      <c r="C5539" s="1" t="n">
        <v>45586</v>
      </c>
      <c r="D5539" t="inlineStr">
        <is>
          <t>VÄSTRA GÖTALANDS LÄN</t>
        </is>
      </c>
      <c r="E5539" t="inlineStr">
        <is>
          <t>LIDKÖPING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16479-2021</t>
        </is>
      </c>
      <c r="B5540" s="1" t="n">
        <v>44293</v>
      </c>
      <c r="C5540" s="1" t="n">
        <v>45586</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16510-2021</t>
        </is>
      </c>
      <c r="B5541" s="1" t="n">
        <v>44293</v>
      </c>
      <c r="C5541" s="1" t="n">
        <v>45586</v>
      </c>
      <c r="D5541" t="inlineStr">
        <is>
          <t>VÄSTRA GÖTALANDS LÄN</t>
        </is>
      </c>
      <c r="E5541" t="inlineStr">
        <is>
          <t>VÅRGÅRDA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16484-2021</t>
        </is>
      </c>
      <c r="B5542" s="1" t="n">
        <v>44293</v>
      </c>
      <c r="C5542" s="1" t="n">
        <v>45586</v>
      </c>
      <c r="D5542" t="inlineStr">
        <is>
          <t>VÄSTRA GÖTALANDS LÄN</t>
        </is>
      </c>
      <c r="E5542" t="inlineStr">
        <is>
          <t>GÖTENE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16499-2021</t>
        </is>
      </c>
      <c r="B5543" s="1" t="n">
        <v>44293</v>
      </c>
      <c r="C5543" s="1" t="n">
        <v>45586</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16663-2021</t>
        </is>
      </c>
      <c r="B5544" s="1" t="n">
        <v>44294</v>
      </c>
      <c r="C5544" s="1" t="n">
        <v>45586</v>
      </c>
      <c r="D5544" t="inlineStr">
        <is>
          <t>VÄSTRA GÖTALANDS LÄN</t>
        </is>
      </c>
      <c r="E5544" t="inlineStr">
        <is>
          <t>GÖTEBORG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16621-2021</t>
        </is>
      </c>
      <c r="B5545" s="1" t="n">
        <v>44294</v>
      </c>
      <c r="C5545" s="1" t="n">
        <v>45586</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16857-2021</t>
        </is>
      </c>
      <c r="B5546" s="1" t="n">
        <v>44295</v>
      </c>
      <c r="C5546" s="1" t="n">
        <v>45586</v>
      </c>
      <c r="D5546" t="inlineStr">
        <is>
          <t>VÄSTRA GÖTALANDS LÄN</t>
        </is>
      </c>
      <c r="E5546" t="inlineStr">
        <is>
          <t>TANUM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16898-2021</t>
        </is>
      </c>
      <c r="B5547" s="1" t="n">
        <v>44295</v>
      </c>
      <c r="C5547" s="1" t="n">
        <v>45586</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16919-2021</t>
        </is>
      </c>
      <c r="B5548" s="1" t="n">
        <v>44295</v>
      </c>
      <c r="C5548" s="1" t="n">
        <v>45586</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16927-2021</t>
        </is>
      </c>
      <c r="B5549" s="1" t="n">
        <v>44295</v>
      </c>
      <c r="C5549" s="1" t="n">
        <v>45586</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16866-2021</t>
        </is>
      </c>
      <c r="B5550" s="1" t="n">
        <v>44295</v>
      </c>
      <c r="C5550" s="1" t="n">
        <v>45586</v>
      </c>
      <c r="D5550" t="inlineStr">
        <is>
          <t>VÄSTRA GÖTALANDS LÄN</t>
        </is>
      </c>
      <c r="E5550" t="inlineStr">
        <is>
          <t>BORÅS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16796-2021</t>
        </is>
      </c>
      <c r="B5551" s="1" t="n">
        <v>44295</v>
      </c>
      <c r="C5551" s="1" t="n">
        <v>45586</v>
      </c>
      <c r="D5551" t="inlineStr">
        <is>
          <t>VÄSTRA GÖTALANDS LÄN</t>
        </is>
      </c>
      <c r="E5551" t="inlineStr">
        <is>
          <t>KARLSBORG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16903-2021</t>
        </is>
      </c>
      <c r="B5552" s="1" t="n">
        <v>44295</v>
      </c>
      <c r="C5552" s="1" t="n">
        <v>45586</v>
      </c>
      <c r="D5552" t="inlineStr">
        <is>
          <t>VÄSTRA GÖTALANDS LÄN</t>
        </is>
      </c>
      <c r="E5552" t="inlineStr">
        <is>
          <t>MARK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16916-2021</t>
        </is>
      </c>
      <c r="B5553" s="1" t="n">
        <v>44295</v>
      </c>
      <c r="C5553" s="1" t="n">
        <v>45586</v>
      </c>
      <c r="D5553" t="inlineStr">
        <is>
          <t>VÄSTRA GÖTALANDS LÄN</t>
        </is>
      </c>
      <c r="E5553" t="inlineStr">
        <is>
          <t>HERRLJUNGA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16924-2021</t>
        </is>
      </c>
      <c r="B5554" s="1" t="n">
        <v>44295</v>
      </c>
      <c r="C5554" s="1" t="n">
        <v>45586</v>
      </c>
      <c r="D5554" t="inlineStr">
        <is>
          <t>VÄSTRA GÖTALANDS LÄN</t>
        </is>
      </c>
      <c r="E5554" t="inlineStr">
        <is>
          <t>DALS-ED</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16951-2021</t>
        </is>
      </c>
      <c r="B5555" s="1" t="n">
        <v>44295</v>
      </c>
      <c r="C5555" s="1" t="n">
        <v>45586</v>
      </c>
      <c r="D5555" t="inlineStr">
        <is>
          <t>VÄSTRA GÖTALANDS LÄN</t>
        </is>
      </c>
      <c r="E5555" t="inlineStr">
        <is>
          <t>MARIESTAD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17028-2021</t>
        </is>
      </c>
      <c r="B5556" s="1" t="n">
        <v>44295</v>
      </c>
      <c r="C5556" s="1" t="n">
        <v>45586</v>
      </c>
      <c r="D5556" t="inlineStr">
        <is>
          <t>VÄSTRA GÖTALANDS LÄN</t>
        </is>
      </c>
      <c r="E5556" t="inlineStr">
        <is>
          <t>HERRLJUNGA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16997-2021</t>
        </is>
      </c>
      <c r="B5557" s="1" t="n">
        <v>44295</v>
      </c>
      <c r="C5557" s="1" t="n">
        <v>45586</v>
      </c>
      <c r="D5557" t="inlineStr">
        <is>
          <t>VÄSTRA GÖTALANDS LÄN</t>
        </is>
      </c>
      <c r="E5557" t="inlineStr">
        <is>
          <t>MARK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17032-2021</t>
        </is>
      </c>
      <c r="B5558" s="1" t="n">
        <v>44295</v>
      </c>
      <c r="C5558" s="1" t="n">
        <v>45586</v>
      </c>
      <c r="D5558" t="inlineStr">
        <is>
          <t>VÄSTRA GÖTALANDS LÄN</t>
        </is>
      </c>
      <c r="E5558" t="inlineStr">
        <is>
          <t>HERRLJUNGA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17046-2021</t>
        </is>
      </c>
      <c r="B5559" s="1" t="n">
        <v>44295</v>
      </c>
      <c r="C5559" s="1" t="n">
        <v>45586</v>
      </c>
      <c r="D5559" t="inlineStr">
        <is>
          <t>VÄSTRA GÖTALANDS LÄN</t>
        </is>
      </c>
      <c r="E5559" t="inlineStr">
        <is>
          <t>ULRICEHAMN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17057-2021</t>
        </is>
      </c>
      <c r="B5560" s="1" t="n">
        <v>44296</v>
      </c>
      <c r="C5560" s="1" t="n">
        <v>45586</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17056-2021</t>
        </is>
      </c>
      <c r="B5561" s="1" t="n">
        <v>44296</v>
      </c>
      <c r="C5561" s="1" t="n">
        <v>45586</v>
      </c>
      <c r="D5561" t="inlineStr">
        <is>
          <t>VÄSTRA GÖTALANDS LÄN</t>
        </is>
      </c>
      <c r="E5561" t="inlineStr">
        <is>
          <t>TRANEMO</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17058-2021</t>
        </is>
      </c>
      <c r="B5562" s="1" t="n">
        <v>44296</v>
      </c>
      <c r="C5562" s="1" t="n">
        <v>45586</v>
      </c>
      <c r="D5562" t="inlineStr">
        <is>
          <t>VÄSTRA GÖTALANDS LÄN</t>
        </is>
      </c>
      <c r="E5562" t="inlineStr">
        <is>
          <t>TRANEMO</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17063-2021</t>
        </is>
      </c>
      <c r="B5563" s="1" t="n">
        <v>44297</v>
      </c>
      <c r="C5563" s="1" t="n">
        <v>45586</v>
      </c>
      <c r="D5563" t="inlineStr">
        <is>
          <t>VÄSTRA GÖTALANDS LÄN</t>
        </is>
      </c>
      <c r="E5563" t="inlineStr">
        <is>
          <t>TIDAHOLM</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17156-2021</t>
        </is>
      </c>
      <c r="B5564" s="1" t="n">
        <v>44298</v>
      </c>
      <c r="C5564" s="1" t="n">
        <v>45586</v>
      </c>
      <c r="D5564" t="inlineStr">
        <is>
          <t>VÄSTRA GÖTALANDS LÄN</t>
        </is>
      </c>
      <c r="E5564" t="inlineStr">
        <is>
          <t>DALS-ED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17283-2021</t>
        </is>
      </c>
      <c r="B5565" s="1" t="n">
        <v>44298</v>
      </c>
      <c r="C5565" s="1" t="n">
        <v>45586</v>
      </c>
      <c r="D5565" t="inlineStr">
        <is>
          <t>VÄSTRA GÖTALANDS LÄN</t>
        </is>
      </c>
      <c r="E5565" t="inlineStr">
        <is>
          <t>ALE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17092-2021</t>
        </is>
      </c>
      <c r="B5566" s="1" t="n">
        <v>44298</v>
      </c>
      <c r="C5566" s="1" t="n">
        <v>45586</v>
      </c>
      <c r="D5566" t="inlineStr">
        <is>
          <t>VÄSTRA GÖTALANDS LÄN</t>
        </is>
      </c>
      <c r="E5566" t="inlineStr">
        <is>
          <t>BORÅS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17260-2021</t>
        </is>
      </c>
      <c r="B5567" s="1" t="n">
        <v>44298</v>
      </c>
      <c r="C5567" s="1" t="n">
        <v>45586</v>
      </c>
      <c r="D5567" t="inlineStr">
        <is>
          <t>VÄSTRA GÖTALANDS LÄN</t>
        </is>
      </c>
      <c r="E5567" t="inlineStr">
        <is>
          <t>ALINGSÅS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17180-2021</t>
        </is>
      </c>
      <c r="B5568" s="1" t="n">
        <v>44298</v>
      </c>
      <c r="C5568" s="1" t="n">
        <v>45586</v>
      </c>
      <c r="D5568" t="inlineStr">
        <is>
          <t>VÄSTRA GÖTALANDS LÄN</t>
        </is>
      </c>
      <c r="E5568" t="inlineStr">
        <is>
          <t>LILLA EDET</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17193-2021</t>
        </is>
      </c>
      <c r="B5569" s="1" t="n">
        <v>44298</v>
      </c>
      <c r="C5569" s="1" t="n">
        <v>45586</v>
      </c>
      <c r="D5569" t="inlineStr">
        <is>
          <t>VÄSTRA GÖTALANDS LÄN</t>
        </is>
      </c>
      <c r="E5569" t="inlineStr">
        <is>
          <t>DALS-ED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17286-2021</t>
        </is>
      </c>
      <c r="B5570" s="1" t="n">
        <v>44298</v>
      </c>
      <c r="C5570" s="1" t="n">
        <v>45586</v>
      </c>
      <c r="D5570" t="inlineStr">
        <is>
          <t>VÄSTRA GÖTALANDS LÄN</t>
        </is>
      </c>
      <c r="E5570" t="inlineStr">
        <is>
          <t>ALE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17322-2021</t>
        </is>
      </c>
      <c r="B5571" s="1" t="n">
        <v>44298</v>
      </c>
      <c r="C5571" s="1" t="n">
        <v>45586</v>
      </c>
      <c r="D5571" t="inlineStr">
        <is>
          <t>VÄSTRA GÖTALANDS LÄN</t>
        </is>
      </c>
      <c r="E5571" t="inlineStr">
        <is>
          <t>TROLLHÄTTAN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17326-2021</t>
        </is>
      </c>
      <c r="B5572" s="1" t="n">
        <v>44298</v>
      </c>
      <c r="C5572" s="1" t="n">
        <v>45586</v>
      </c>
      <c r="D5572" t="inlineStr">
        <is>
          <t>VÄSTRA GÖTALANDS LÄN</t>
        </is>
      </c>
      <c r="E5572" t="inlineStr">
        <is>
          <t>VÅRGÅRDA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17343-2021</t>
        </is>
      </c>
      <c r="B5573" s="1" t="n">
        <v>44298</v>
      </c>
      <c r="C5573" s="1" t="n">
        <v>45586</v>
      </c>
      <c r="D5573" t="inlineStr">
        <is>
          <t>VÄSTRA GÖTALANDS LÄN</t>
        </is>
      </c>
      <c r="E5573" t="inlineStr">
        <is>
          <t>TROLLHÄTTAN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17330-2021</t>
        </is>
      </c>
      <c r="B5574" s="1" t="n">
        <v>44298</v>
      </c>
      <c r="C5574" s="1" t="n">
        <v>45586</v>
      </c>
      <c r="D5574" t="inlineStr">
        <is>
          <t>VÄSTRA GÖTALANDS LÄN</t>
        </is>
      </c>
      <c r="E5574" t="inlineStr">
        <is>
          <t>STRÖMSTAD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17102-2021</t>
        </is>
      </c>
      <c r="B5575" s="1" t="n">
        <v>44298</v>
      </c>
      <c r="C5575" s="1" t="n">
        <v>45586</v>
      </c>
      <c r="D5575" t="inlineStr">
        <is>
          <t>VÄSTRA GÖTALANDS LÄN</t>
        </is>
      </c>
      <c r="E5575" t="inlineStr">
        <is>
          <t>LIDKÖPING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17405-2021</t>
        </is>
      </c>
      <c r="B5576" s="1" t="n">
        <v>44298</v>
      </c>
      <c r="C5576" s="1" t="n">
        <v>45586</v>
      </c>
      <c r="D5576" t="inlineStr">
        <is>
          <t>VÄSTRA GÖTALANDS LÄN</t>
        </is>
      </c>
      <c r="E5576" t="inlineStr">
        <is>
          <t>BENGTSFORS</t>
        </is>
      </c>
      <c r="F5576" t="inlineStr">
        <is>
          <t>Kyrkan</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17440-2021</t>
        </is>
      </c>
      <c r="B5577" s="1" t="n">
        <v>44299</v>
      </c>
      <c r="C5577" s="1" t="n">
        <v>45586</v>
      </c>
      <c r="D5577" t="inlineStr">
        <is>
          <t>VÄSTRA GÖTALANDS LÄN</t>
        </is>
      </c>
      <c r="E5577" t="inlineStr">
        <is>
          <t>SKÖVDE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17510-2021</t>
        </is>
      </c>
      <c r="B5578" s="1" t="n">
        <v>44299</v>
      </c>
      <c r="C5578" s="1" t="n">
        <v>45586</v>
      </c>
      <c r="D5578" t="inlineStr">
        <is>
          <t>VÄSTRA GÖTALANDS LÄN</t>
        </is>
      </c>
      <c r="E5578" t="inlineStr">
        <is>
          <t>LILLA EDET</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17541-2021</t>
        </is>
      </c>
      <c r="B5579" s="1" t="n">
        <v>44299</v>
      </c>
      <c r="C5579" s="1" t="n">
        <v>45586</v>
      </c>
      <c r="D5579" t="inlineStr">
        <is>
          <t>VÄSTRA GÖTALANDS LÄN</t>
        </is>
      </c>
      <c r="E5579" t="inlineStr">
        <is>
          <t>LIDKÖPING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17393-2021</t>
        </is>
      </c>
      <c r="B5580" s="1" t="n">
        <v>44299</v>
      </c>
      <c r="C5580" s="1" t="n">
        <v>45586</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17459-2021</t>
        </is>
      </c>
      <c r="B5581" s="1" t="n">
        <v>44299</v>
      </c>
      <c r="C5581" s="1" t="n">
        <v>45586</v>
      </c>
      <c r="D5581" t="inlineStr">
        <is>
          <t>VÄSTRA GÖTALANDS LÄN</t>
        </is>
      </c>
      <c r="E5581" t="inlineStr">
        <is>
          <t>FALKÖPING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17507-2021</t>
        </is>
      </c>
      <c r="B5582" s="1" t="n">
        <v>44299</v>
      </c>
      <c r="C5582" s="1" t="n">
        <v>45586</v>
      </c>
      <c r="D5582" t="inlineStr">
        <is>
          <t>VÄSTRA GÖTALANDS LÄN</t>
        </is>
      </c>
      <c r="E5582" t="inlineStr">
        <is>
          <t>MUNKEDAL</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17525-2021</t>
        </is>
      </c>
      <c r="B5583" s="1" t="n">
        <v>44299</v>
      </c>
      <c r="C5583" s="1" t="n">
        <v>45586</v>
      </c>
      <c r="D5583" t="inlineStr">
        <is>
          <t>VÄSTRA GÖTALANDS LÄN</t>
        </is>
      </c>
      <c r="E5583" t="inlineStr">
        <is>
          <t>TIDAHOLM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17391-2021</t>
        </is>
      </c>
      <c r="B5584" s="1" t="n">
        <v>44299</v>
      </c>
      <c r="C5584" s="1" t="n">
        <v>45586</v>
      </c>
      <c r="D5584" t="inlineStr">
        <is>
          <t>VÄSTRA GÖTALANDS LÄN</t>
        </is>
      </c>
      <c r="E5584" t="inlineStr">
        <is>
          <t>ULRICEHAMN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17452-2021</t>
        </is>
      </c>
      <c r="B5585" s="1" t="n">
        <v>44299</v>
      </c>
      <c r="C5585" s="1" t="n">
        <v>45586</v>
      </c>
      <c r="D5585" t="inlineStr">
        <is>
          <t>VÄSTRA GÖTALANDS LÄN</t>
        </is>
      </c>
      <c r="E5585" t="inlineStr">
        <is>
          <t>FÄRGELANDA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17588-2021</t>
        </is>
      </c>
      <c r="B5586" s="1" t="n">
        <v>44299</v>
      </c>
      <c r="C5586" s="1" t="n">
        <v>45586</v>
      </c>
      <c r="D5586" t="inlineStr">
        <is>
          <t>VÄSTRA GÖTALANDS LÄN</t>
        </is>
      </c>
      <c r="E5586" t="inlineStr">
        <is>
          <t>ULRICEHAMN</t>
        </is>
      </c>
      <c r="G5586" t="n">
        <v>33.2</v>
      </c>
      <c r="H5586" t="n">
        <v>0</v>
      </c>
      <c r="I5586" t="n">
        <v>0</v>
      </c>
      <c r="J5586" t="n">
        <v>0</v>
      </c>
      <c r="K5586" t="n">
        <v>0</v>
      </c>
      <c r="L5586" t="n">
        <v>0</v>
      </c>
      <c r="M5586" t="n">
        <v>0</v>
      </c>
      <c r="N5586" t="n">
        <v>0</v>
      </c>
      <c r="O5586" t="n">
        <v>0</v>
      </c>
      <c r="P5586" t="n">
        <v>0</v>
      </c>
      <c r="Q5586" t="n">
        <v>0</v>
      </c>
      <c r="R5586" s="2" t="inlineStr"/>
    </row>
    <row r="5587" ht="15" customHeight="1">
      <c r="A5587" t="inlineStr">
        <is>
          <t>A 17567-2021</t>
        </is>
      </c>
      <c r="B5587" s="1" t="n">
        <v>44299</v>
      </c>
      <c r="C5587" s="1" t="n">
        <v>45586</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17589-2021</t>
        </is>
      </c>
      <c r="B5588" s="1" t="n">
        <v>44299</v>
      </c>
      <c r="C5588" s="1" t="n">
        <v>45586</v>
      </c>
      <c r="D5588" t="inlineStr">
        <is>
          <t>VÄSTRA GÖTALANDS LÄN</t>
        </is>
      </c>
      <c r="E5588" t="inlineStr">
        <is>
          <t>ULRICEHAMN</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17757-2021</t>
        </is>
      </c>
      <c r="B5589" s="1" t="n">
        <v>44299</v>
      </c>
      <c r="C5589" s="1" t="n">
        <v>45586</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17568-2021</t>
        </is>
      </c>
      <c r="B5590" s="1" t="n">
        <v>44299</v>
      </c>
      <c r="C5590" s="1" t="n">
        <v>45586</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17681-2021</t>
        </is>
      </c>
      <c r="B5591" s="1" t="n">
        <v>44299</v>
      </c>
      <c r="C5591" s="1" t="n">
        <v>45586</v>
      </c>
      <c r="D5591" t="inlineStr">
        <is>
          <t>VÄSTRA GÖTALANDS LÄN</t>
        </is>
      </c>
      <c r="E5591" t="inlineStr">
        <is>
          <t>DALS-ED</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17742-2021</t>
        </is>
      </c>
      <c r="B5592" s="1" t="n">
        <v>44299</v>
      </c>
      <c r="C5592" s="1" t="n">
        <v>45586</v>
      </c>
      <c r="D5592" t="inlineStr">
        <is>
          <t>VÄSTRA GÖTALANDS LÄN</t>
        </is>
      </c>
      <c r="E5592" t="inlineStr">
        <is>
          <t>VARA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17685-2021</t>
        </is>
      </c>
      <c r="B5593" s="1" t="n">
        <v>44300</v>
      </c>
      <c r="C5593" s="1" t="n">
        <v>45586</v>
      </c>
      <c r="D5593" t="inlineStr">
        <is>
          <t>VÄSTRA GÖTALANDS LÄN</t>
        </is>
      </c>
      <c r="E5593" t="inlineStr">
        <is>
          <t>MARIESTAD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17737-2021</t>
        </is>
      </c>
      <c r="B5594" s="1" t="n">
        <v>44300</v>
      </c>
      <c r="C5594" s="1" t="n">
        <v>45586</v>
      </c>
      <c r="D5594" t="inlineStr">
        <is>
          <t>VÄSTRA GÖTALANDS LÄN</t>
        </is>
      </c>
      <c r="E5594" t="inlineStr">
        <is>
          <t>ESSUNGA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17760-2021</t>
        </is>
      </c>
      <c r="B5595" s="1" t="n">
        <v>44300</v>
      </c>
      <c r="C5595" s="1" t="n">
        <v>45586</v>
      </c>
      <c r="D5595" t="inlineStr">
        <is>
          <t>VÄSTRA GÖTALANDS LÄN</t>
        </is>
      </c>
      <c r="E5595" t="inlineStr">
        <is>
          <t>BENGTSFORS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17771-2021</t>
        </is>
      </c>
      <c r="B5596" s="1" t="n">
        <v>44300</v>
      </c>
      <c r="C5596" s="1" t="n">
        <v>45586</v>
      </c>
      <c r="D5596" t="inlineStr">
        <is>
          <t>VÄSTRA GÖTALANDS LÄN</t>
        </is>
      </c>
      <c r="E5596" t="inlineStr">
        <is>
          <t>FALKÖPING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17806-2021</t>
        </is>
      </c>
      <c r="B5597" s="1" t="n">
        <v>44300</v>
      </c>
      <c r="C5597" s="1" t="n">
        <v>45586</v>
      </c>
      <c r="D5597" t="inlineStr">
        <is>
          <t>VÄSTRA GÖTALANDS LÄN</t>
        </is>
      </c>
      <c r="E5597" t="inlineStr">
        <is>
          <t>HJO</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17624-2021</t>
        </is>
      </c>
      <c r="B5598" s="1" t="n">
        <v>44300</v>
      </c>
      <c r="C5598" s="1" t="n">
        <v>45586</v>
      </c>
      <c r="D5598" t="inlineStr">
        <is>
          <t>VÄSTRA GÖTALANDS LÄN</t>
        </is>
      </c>
      <c r="E5598" t="inlineStr">
        <is>
          <t>MARIESTAD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17678-2021</t>
        </is>
      </c>
      <c r="B5599" s="1" t="n">
        <v>44300</v>
      </c>
      <c r="C5599" s="1" t="n">
        <v>45586</v>
      </c>
      <c r="D5599" t="inlineStr">
        <is>
          <t>VÄSTRA GÖTALANDS LÄN</t>
        </is>
      </c>
      <c r="E5599" t="inlineStr">
        <is>
          <t>ULRICEHAMN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17756-2021</t>
        </is>
      </c>
      <c r="B5600" s="1" t="n">
        <v>44300</v>
      </c>
      <c r="C5600" s="1" t="n">
        <v>45586</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17799-2021</t>
        </is>
      </c>
      <c r="B5601" s="1" t="n">
        <v>44300</v>
      </c>
      <c r="C5601" s="1" t="n">
        <v>45586</v>
      </c>
      <c r="D5601" t="inlineStr">
        <is>
          <t>VÄSTRA GÖTALANDS LÄN</t>
        </is>
      </c>
      <c r="E5601" t="inlineStr">
        <is>
          <t>GULLSPÅNG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17805-2021</t>
        </is>
      </c>
      <c r="B5602" s="1" t="n">
        <v>44300</v>
      </c>
      <c r="C5602" s="1" t="n">
        <v>45586</v>
      </c>
      <c r="D5602" t="inlineStr">
        <is>
          <t>VÄSTRA GÖTALANDS LÄN</t>
        </is>
      </c>
      <c r="E5602" t="inlineStr">
        <is>
          <t>FÄRGELANDA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17801-2021</t>
        </is>
      </c>
      <c r="B5603" s="1" t="n">
        <v>44300</v>
      </c>
      <c r="C5603" s="1" t="n">
        <v>45586</v>
      </c>
      <c r="D5603" t="inlineStr">
        <is>
          <t>VÄSTRA GÖTALANDS LÄN</t>
        </is>
      </c>
      <c r="E5603" t="inlineStr">
        <is>
          <t>TIDAHOLM</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17611-2021</t>
        </is>
      </c>
      <c r="B5604" s="1" t="n">
        <v>44300</v>
      </c>
      <c r="C5604" s="1" t="n">
        <v>45586</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17767-2021</t>
        </is>
      </c>
      <c r="B5605" s="1" t="n">
        <v>44300</v>
      </c>
      <c r="C5605" s="1" t="n">
        <v>45586</v>
      </c>
      <c r="D5605" t="inlineStr">
        <is>
          <t>VÄSTRA GÖTALANDS LÄN</t>
        </is>
      </c>
      <c r="E5605" t="inlineStr">
        <is>
          <t>BENGTSFORS</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17812-2021</t>
        </is>
      </c>
      <c r="B5606" s="1" t="n">
        <v>44300</v>
      </c>
      <c r="C5606" s="1" t="n">
        <v>45586</v>
      </c>
      <c r="D5606" t="inlineStr">
        <is>
          <t>VÄSTRA GÖTALANDS LÄN</t>
        </is>
      </c>
      <c r="E5606" t="inlineStr">
        <is>
          <t>TIDAHOLM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17842-2021</t>
        </is>
      </c>
      <c r="B5607" s="1" t="n">
        <v>44300</v>
      </c>
      <c r="C5607" s="1" t="n">
        <v>45586</v>
      </c>
      <c r="D5607" t="inlineStr">
        <is>
          <t>VÄSTRA GÖTALANDS LÄN</t>
        </is>
      </c>
      <c r="E5607" t="inlineStr">
        <is>
          <t>DALS-ED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17839-2021</t>
        </is>
      </c>
      <c r="B5608" s="1" t="n">
        <v>44300</v>
      </c>
      <c r="C5608" s="1" t="n">
        <v>45586</v>
      </c>
      <c r="D5608" t="inlineStr">
        <is>
          <t>VÄSTRA GÖTALANDS LÄN</t>
        </is>
      </c>
      <c r="E5608" t="inlineStr">
        <is>
          <t>BENGTSFORS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17861-2021</t>
        </is>
      </c>
      <c r="B5609" s="1" t="n">
        <v>44301</v>
      </c>
      <c r="C5609" s="1" t="n">
        <v>45586</v>
      </c>
      <c r="D5609" t="inlineStr">
        <is>
          <t>VÄSTRA GÖTALANDS LÄN</t>
        </is>
      </c>
      <c r="E5609" t="inlineStr">
        <is>
          <t>LERUM</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18043-2021</t>
        </is>
      </c>
      <c r="B5610" s="1" t="n">
        <v>44301</v>
      </c>
      <c r="C5610" s="1" t="n">
        <v>45586</v>
      </c>
      <c r="D5610" t="inlineStr">
        <is>
          <t>VÄSTRA GÖTALANDS LÄN</t>
        </is>
      </c>
      <c r="E5610" t="inlineStr">
        <is>
          <t>STRÖMSTAD</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17975-2021</t>
        </is>
      </c>
      <c r="B5611" s="1" t="n">
        <v>44301</v>
      </c>
      <c r="C5611" s="1" t="n">
        <v>45586</v>
      </c>
      <c r="D5611" t="inlineStr">
        <is>
          <t>VÄSTRA GÖTALANDS LÄN</t>
        </is>
      </c>
      <c r="E5611" t="inlineStr">
        <is>
          <t>SVENLJUNGA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17992-2021</t>
        </is>
      </c>
      <c r="B5612" s="1" t="n">
        <v>44301</v>
      </c>
      <c r="C5612" s="1" t="n">
        <v>45586</v>
      </c>
      <c r="D5612" t="inlineStr">
        <is>
          <t>VÄSTRA GÖTALANDS LÄN</t>
        </is>
      </c>
      <c r="E5612" t="inlineStr">
        <is>
          <t>HÄRRYDA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17860-2021</t>
        </is>
      </c>
      <c r="B5613" s="1" t="n">
        <v>44301</v>
      </c>
      <c r="C5613" s="1" t="n">
        <v>45586</v>
      </c>
      <c r="D5613" t="inlineStr">
        <is>
          <t>VÄSTRA GÖTALANDS LÄN</t>
        </is>
      </c>
      <c r="E5613" t="inlineStr">
        <is>
          <t>HÄRRYDA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18054-2021</t>
        </is>
      </c>
      <c r="B5614" s="1" t="n">
        <v>44302</v>
      </c>
      <c r="C5614" s="1" t="n">
        <v>45586</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18195-2021</t>
        </is>
      </c>
      <c r="B5615" s="1" t="n">
        <v>44302</v>
      </c>
      <c r="C5615" s="1" t="n">
        <v>45586</v>
      </c>
      <c r="D5615" t="inlineStr">
        <is>
          <t>VÄSTRA GÖTALANDS LÄN</t>
        </is>
      </c>
      <c r="E5615" t="inlineStr">
        <is>
          <t>BENGTSFORS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18058-2021</t>
        </is>
      </c>
      <c r="B5616" s="1" t="n">
        <v>44302</v>
      </c>
      <c r="C5616" s="1" t="n">
        <v>45586</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18152-2021</t>
        </is>
      </c>
      <c r="B5617" s="1" t="n">
        <v>44302</v>
      </c>
      <c r="C5617" s="1" t="n">
        <v>45586</v>
      </c>
      <c r="D5617" t="inlineStr">
        <is>
          <t>VÄSTRA GÖTALANDS LÄN</t>
        </is>
      </c>
      <c r="E5617" t="inlineStr">
        <is>
          <t>TIDAHOLM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18253-2021</t>
        </is>
      </c>
      <c r="B5618" s="1" t="n">
        <v>44305</v>
      </c>
      <c r="C5618" s="1" t="n">
        <v>45586</v>
      </c>
      <c r="D5618" t="inlineStr">
        <is>
          <t>VÄSTRA GÖTALANDS LÄN</t>
        </is>
      </c>
      <c r="E5618" t="inlineStr">
        <is>
          <t>TRANEMO</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18287-2021</t>
        </is>
      </c>
      <c r="B5619" s="1" t="n">
        <v>44305</v>
      </c>
      <c r="C5619" s="1" t="n">
        <v>45586</v>
      </c>
      <c r="D5619" t="inlineStr">
        <is>
          <t>VÄSTRA GÖTALANDS LÄN</t>
        </is>
      </c>
      <c r="E5619" t="inlineStr">
        <is>
          <t>MELLERUD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18296-2021</t>
        </is>
      </c>
      <c r="B5620" s="1" t="n">
        <v>44305</v>
      </c>
      <c r="C5620" s="1" t="n">
        <v>45586</v>
      </c>
      <c r="D5620" t="inlineStr">
        <is>
          <t>VÄSTRA GÖTALANDS LÄN</t>
        </is>
      </c>
      <c r="E5620" t="inlineStr">
        <is>
          <t>UDDEVALLA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18309-2021</t>
        </is>
      </c>
      <c r="B5621" s="1" t="n">
        <v>44305</v>
      </c>
      <c r="C5621" s="1" t="n">
        <v>45586</v>
      </c>
      <c r="D5621" t="inlineStr">
        <is>
          <t>VÄSTRA GÖTALANDS LÄN</t>
        </is>
      </c>
      <c r="E5621" t="inlineStr">
        <is>
          <t>BENGTSFORS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18345-2021</t>
        </is>
      </c>
      <c r="B5622" s="1" t="n">
        <v>44305</v>
      </c>
      <c r="C5622" s="1" t="n">
        <v>45586</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18380-2021</t>
        </is>
      </c>
      <c r="B5623" s="1" t="n">
        <v>44305</v>
      </c>
      <c r="C5623" s="1" t="n">
        <v>45586</v>
      </c>
      <c r="D5623" t="inlineStr">
        <is>
          <t>VÄSTRA GÖTALANDS LÄN</t>
        </is>
      </c>
      <c r="E5623" t="inlineStr">
        <is>
          <t>VARA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18304-2021</t>
        </is>
      </c>
      <c r="B5624" s="1" t="n">
        <v>44305</v>
      </c>
      <c r="C5624" s="1" t="n">
        <v>45586</v>
      </c>
      <c r="D5624" t="inlineStr">
        <is>
          <t>VÄSTRA GÖTALANDS LÄN</t>
        </is>
      </c>
      <c r="E5624" t="inlineStr">
        <is>
          <t>BENGTSFORS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18424-2021</t>
        </is>
      </c>
      <c r="B5625" s="1" t="n">
        <v>44305</v>
      </c>
      <c r="C5625" s="1" t="n">
        <v>45586</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18382-2021</t>
        </is>
      </c>
      <c r="B5626" s="1" t="n">
        <v>44305</v>
      </c>
      <c r="C5626" s="1" t="n">
        <v>45586</v>
      </c>
      <c r="D5626" t="inlineStr">
        <is>
          <t>VÄSTRA GÖTALANDS LÄN</t>
        </is>
      </c>
      <c r="E5626" t="inlineStr">
        <is>
          <t>VARA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18438-2021</t>
        </is>
      </c>
      <c r="B5627" s="1" t="n">
        <v>44305</v>
      </c>
      <c r="C5627" s="1" t="n">
        <v>45586</v>
      </c>
      <c r="D5627" t="inlineStr">
        <is>
          <t>VÄSTRA GÖTALANDS LÄN</t>
        </is>
      </c>
      <c r="E5627" t="inlineStr">
        <is>
          <t>MELLERUD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18358-2021</t>
        </is>
      </c>
      <c r="B5628" s="1" t="n">
        <v>44305</v>
      </c>
      <c r="C5628" s="1" t="n">
        <v>45586</v>
      </c>
      <c r="D5628" t="inlineStr">
        <is>
          <t>VÄSTRA GÖTALANDS LÄN</t>
        </is>
      </c>
      <c r="E5628" t="inlineStr">
        <is>
          <t>HERRLJUNGA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18466-2021</t>
        </is>
      </c>
      <c r="B5629" s="1" t="n">
        <v>44306</v>
      </c>
      <c r="C5629" s="1" t="n">
        <v>45586</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18559-2021</t>
        </is>
      </c>
      <c r="B5630" s="1" t="n">
        <v>44306</v>
      </c>
      <c r="C5630" s="1" t="n">
        <v>45586</v>
      </c>
      <c r="D5630" t="inlineStr">
        <is>
          <t>VÄSTRA GÖTALANDS LÄN</t>
        </is>
      </c>
      <c r="E5630" t="inlineStr">
        <is>
          <t>TANUM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18650-2021</t>
        </is>
      </c>
      <c r="B5631" s="1" t="n">
        <v>44306</v>
      </c>
      <c r="C5631" s="1" t="n">
        <v>45586</v>
      </c>
      <c r="D5631" t="inlineStr">
        <is>
          <t>VÄSTRA GÖTALANDS LÄN</t>
        </is>
      </c>
      <c r="E5631" t="inlineStr">
        <is>
          <t>ULRICEHAMN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18601-2021</t>
        </is>
      </c>
      <c r="B5632" s="1" t="n">
        <v>44306</v>
      </c>
      <c r="C5632" s="1" t="n">
        <v>45586</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18620-2021</t>
        </is>
      </c>
      <c r="B5633" s="1" t="n">
        <v>44306</v>
      </c>
      <c r="C5633" s="1" t="n">
        <v>45586</v>
      </c>
      <c r="D5633" t="inlineStr">
        <is>
          <t>VÄSTRA GÖTALANDS LÄN</t>
        </is>
      </c>
      <c r="E5633" t="inlineStr">
        <is>
          <t>BENGTSFORS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18473-2021</t>
        </is>
      </c>
      <c r="B5634" s="1" t="n">
        <v>44306</v>
      </c>
      <c r="C5634" s="1" t="n">
        <v>45586</v>
      </c>
      <c r="D5634" t="inlineStr">
        <is>
          <t>VÄSTRA GÖTALANDS LÄN</t>
        </is>
      </c>
      <c r="E5634" t="inlineStr">
        <is>
          <t>ULRICEHAMN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18557-2021</t>
        </is>
      </c>
      <c r="B5635" s="1" t="n">
        <v>44306</v>
      </c>
      <c r="C5635" s="1" t="n">
        <v>45586</v>
      </c>
      <c r="D5635" t="inlineStr">
        <is>
          <t>VÄSTRA GÖTALANDS LÄN</t>
        </is>
      </c>
      <c r="E5635" t="inlineStr">
        <is>
          <t>TANUM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18591-2021</t>
        </is>
      </c>
      <c r="B5636" s="1" t="n">
        <v>44306</v>
      </c>
      <c r="C5636" s="1" t="n">
        <v>45586</v>
      </c>
      <c r="D5636" t="inlineStr">
        <is>
          <t>VÄSTRA GÖTALANDS LÄN</t>
        </is>
      </c>
      <c r="E5636" t="inlineStr">
        <is>
          <t>STENUNGSUND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18613-2021</t>
        </is>
      </c>
      <c r="B5637" s="1" t="n">
        <v>44306</v>
      </c>
      <c r="C5637" s="1" t="n">
        <v>45586</v>
      </c>
      <c r="D5637" t="inlineStr">
        <is>
          <t>VÄSTRA GÖTALANDS LÄN</t>
        </is>
      </c>
      <c r="E5637" t="inlineStr">
        <is>
          <t>BENGTSFORS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18660-2021</t>
        </is>
      </c>
      <c r="B5638" s="1" t="n">
        <v>44306</v>
      </c>
      <c r="C5638" s="1" t="n">
        <v>45586</v>
      </c>
      <c r="D5638" t="inlineStr">
        <is>
          <t>VÄSTRA GÖTALANDS LÄN</t>
        </is>
      </c>
      <c r="E5638" t="inlineStr">
        <is>
          <t>SKÖVDE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18769-2021</t>
        </is>
      </c>
      <c r="B5639" s="1" t="n">
        <v>44307</v>
      </c>
      <c r="C5639" s="1" t="n">
        <v>45586</v>
      </c>
      <c r="D5639" t="inlineStr">
        <is>
          <t>VÄSTRA GÖTALANDS LÄN</t>
        </is>
      </c>
      <c r="E5639" t="inlineStr">
        <is>
          <t>MELLERUD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18832-2021</t>
        </is>
      </c>
      <c r="B5640" s="1" t="n">
        <v>44307</v>
      </c>
      <c r="C5640" s="1" t="n">
        <v>45586</v>
      </c>
      <c r="D5640" t="inlineStr">
        <is>
          <t>VÄSTRA GÖTALANDS LÄN</t>
        </is>
      </c>
      <c r="E5640" t="inlineStr">
        <is>
          <t>HERRLJUNGA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18791-2021</t>
        </is>
      </c>
      <c r="B5641" s="1" t="n">
        <v>44307</v>
      </c>
      <c r="C5641" s="1" t="n">
        <v>45586</v>
      </c>
      <c r="D5641" t="inlineStr">
        <is>
          <t>VÄSTRA GÖTALANDS LÄN</t>
        </is>
      </c>
      <c r="E5641" t="inlineStr">
        <is>
          <t>SOTENÄS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18843-2021</t>
        </is>
      </c>
      <c r="B5642" s="1" t="n">
        <v>44307</v>
      </c>
      <c r="C5642" s="1" t="n">
        <v>45586</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19490-2021</t>
        </is>
      </c>
      <c r="B5643" s="1" t="n">
        <v>44307</v>
      </c>
      <c r="C5643" s="1" t="n">
        <v>45586</v>
      </c>
      <c r="D5643" t="inlineStr">
        <is>
          <t>VÄSTRA GÖTALANDS LÄN</t>
        </is>
      </c>
      <c r="E5643" t="inlineStr">
        <is>
          <t>BENGTSFORS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18849-2021</t>
        </is>
      </c>
      <c r="B5644" s="1" t="n">
        <v>44307</v>
      </c>
      <c r="C5644" s="1" t="n">
        <v>45586</v>
      </c>
      <c r="D5644" t="inlineStr">
        <is>
          <t>VÄSTRA GÖTALANDS LÄN</t>
        </is>
      </c>
      <c r="E5644" t="inlineStr">
        <is>
          <t>MELLERUD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18842-2021</t>
        </is>
      </c>
      <c r="B5645" s="1" t="n">
        <v>44307</v>
      </c>
      <c r="C5645" s="1" t="n">
        <v>45586</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19500-2021</t>
        </is>
      </c>
      <c r="B5646" s="1" t="n">
        <v>44307</v>
      </c>
      <c r="C5646" s="1" t="n">
        <v>45586</v>
      </c>
      <c r="D5646" t="inlineStr">
        <is>
          <t>VÄSTRA GÖTALANDS LÄN</t>
        </is>
      </c>
      <c r="E5646" t="inlineStr">
        <is>
          <t>BENGTSFORS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19049-2021</t>
        </is>
      </c>
      <c r="B5647" s="1" t="n">
        <v>44308</v>
      </c>
      <c r="C5647" s="1" t="n">
        <v>45586</v>
      </c>
      <c r="D5647" t="inlineStr">
        <is>
          <t>VÄSTRA GÖTALANDS LÄN</t>
        </is>
      </c>
      <c r="E5647" t="inlineStr">
        <is>
          <t>TROLLHÄTTAN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18888-2021</t>
        </is>
      </c>
      <c r="B5648" s="1" t="n">
        <v>44308</v>
      </c>
      <c r="C5648" s="1" t="n">
        <v>45586</v>
      </c>
      <c r="D5648" t="inlineStr">
        <is>
          <t>VÄSTRA GÖTALANDS LÄN</t>
        </is>
      </c>
      <c r="E5648" t="inlineStr">
        <is>
          <t>TÖREBODA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18885-2021</t>
        </is>
      </c>
      <c r="B5649" s="1" t="n">
        <v>44308</v>
      </c>
      <c r="C5649" s="1" t="n">
        <v>45586</v>
      </c>
      <c r="D5649" t="inlineStr">
        <is>
          <t>VÄSTRA GÖTALANDS LÄN</t>
        </is>
      </c>
      <c r="E5649" t="inlineStr">
        <is>
          <t>UDDEVALLA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18999-2021</t>
        </is>
      </c>
      <c r="B5650" s="1" t="n">
        <v>44308</v>
      </c>
      <c r="C5650" s="1" t="n">
        <v>45586</v>
      </c>
      <c r="D5650" t="inlineStr">
        <is>
          <t>VÄSTRA GÖTALANDS LÄN</t>
        </is>
      </c>
      <c r="E5650" t="inlineStr">
        <is>
          <t>ALE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19167-2021</t>
        </is>
      </c>
      <c r="B5651" s="1" t="n">
        <v>44308</v>
      </c>
      <c r="C5651" s="1" t="n">
        <v>45586</v>
      </c>
      <c r="D5651" t="inlineStr">
        <is>
          <t>VÄSTRA GÖTALANDS LÄN</t>
        </is>
      </c>
      <c r="E5651" t="inlineStr">
        <is>
          <t>TROLLHÄTTAN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19223-2021</t>
        </is>
      </c>
      <c r="B5652" s="1" t="n">
        <v>44309</v>
      </c>
      <c r="C5652" s="1" t="n">
        <v>45586</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19292-2021</t>
        </is>
      </c>
      <c r="B5653" s="1" t="n">
        <v>44309</v>
      </c>
      <c r="C5653" s="1" t="n">
        <v>45586</v>
      </c>
      <c r="D5653" t="inlineStr">
        <is>
          <t>VÄSTRA GÖTALANDS LÄN</t>
        </is>
      </c>
      <c r="E5653" t="inlineStr">
        <is>
          <t>TRANEMO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19355-2021</t>
        </is>
      </c>
      <c r="B5654" s="1" t="n">
        <v>44309</v>
      </c>
      <c r="C5654" s="1" t="n">
        <v>45586</v>
      </c>
      <c r="D5654" t="inlineStr">
        <is>
          <t>VÄSTRA GÖTALANDS LÄN</t>
        </is>
      </c>
      <c r="E5654" t="inlineStr">
        <is>
          <t>TROLLHÄTTAN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19388-2021</t>
        </is>
      </c>
      <c r="B5655" s="1" t="n">
        <v>44309</v>
      </c>
      <c r="C5655" s="1" t="n">
        <v>45586</v>
      </c>
      <c r="D5655" t="inlineStr">
        <is>
          <t>VÄSTRA GÖTALANDS LÄN</t>
        </is>
      </c>
      <c r="E5655" t="inlineStr">
        <is>
          <t>ULRICEHAMN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19767-2021</t>
        </is>
      </c>
      <c r="B5656" s="1" t="n">
        <v>44309</v>
      </c>
      <c r="C5656" s="1" t="n">
        <v>45586</v>
      </c>
      <c r="D5656" t="inlineStr">
        <is>
          <t>VÄSTRA GÖTALANDS LÄN</t>
        </is>
      </c>
      <c r="E5656" t="inlineStr">
        <is>
          <t>BENGTSFORS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19235-2021</t>
        </is>
      </c>
      <c r="B5657" s="1" t="n">
        <v>44309</v>
      </c>
      <c r="C5657" s="1" t="n">
        <v>45586</v>
      </c>
      <c r="D5657" t="inlineStr">
        <is>
          <t>VÄSTRA GÖTALANDS LÄN</t>
        </is>
      </c>
      <c r="E5657" t="inlineStr">
        <is>
          <t>LILLA EDET</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19315-2021</t>
        </is>
      </c>
      <c r="B5658" s="1" t="n">
        <v>44309</v>
      </c>
      <c r="C5658" s="1" t="n">
        <v>45586</v>
      </c>
      <c r="D5658" t="inlineStr">
        <is>
          <t>VÄSTRA GÖTALANDS LÄN</t>
        </is>
      </c>
      <c r="E5658" t="inlineStr">
        <is>
          <t>LERUM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19455-2021</t>
        </is>
      </c>
      <c r="B5659" s="1" t="n">
        <v>44311</v>
      </c>
      <c r="C5659" s="1" t="n">
        <v>45586</v>
      </c>
      <c r="D5659" t="inlineStr">
        <is>
          <t>VÄSTRA GÖTALANDS LÄN</t>
        </is>
      </c>
      <c r="E5659" t="inlineStr">
        <is>
          <t>GRÄSTORP</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19820-2021</t>
        </is>
      </c>
      <c r="B5660" s="1" t="n">
        <v>44312</v>
      </c>
      <c r="C5660" s="1" t="n">
        <v>45586</v>
      </c>
      <c r="D5660" t="inlineStr">
        <is>
          <t>VÄSTRA GÖTALANDS LÄN</t>
        </is>
      </c>
      <c r="E5660" t="inlineStr">
        <is>
          <t>TROLLHÄTTAN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20239-2021</t>
        </is>
      </c>
      <c r="B5661" s="1" t="n">
        <v>44312</v>
      </c>
      <c r="C5661" s="1" t="n">
        <v>45586</v>
      </c>
      <c r="D5661" t="inlineStr">
        <is>
          <t>VÄSTRA GÖTALANDS LÄN</t>
        </is>
      </c>
      <c r="E5661" t="inlineStr">
        <is>
          <t>BENGTSFORS</t>
        </is>
      </c>
      <c r="F5661" t="inlineStr">
        <is>
          <t>Kyrkan</t>
        </is>
      </c>
      <c r="G5661" t="n">
        <v>23.6</v>
      </c>
      <c r="H5661" t="n">
        <v>0</v>
      </c>
      <c r="I5661" t="n">
        <v>0</v>
      </c>
      <c r="J5661" t="n">
        <v>0</v>
      </c>
      <c r="K5661" t="n">
        <v>0</v>
      </c>
      <c r="L5661" t="n">
        <v>0</v>
      </c>
      <c r="M5661" t="n">
        <v>0</v>
      </c>
      <c r="N5661" t="n">
        <v>0</v>
      </c>
      <c r="O5661" t="n">
        <v>0</v>
      </c>
      <c r="P5661" t="n">
        <v>0</v>
      </c>
      <c r="Q5661" t="n">
        <v>0</v>
      </c>
      <c r="R5661" s="2" t="inlineStr"/>
    </row>
    <row r="5662" ht="15" customHeight="1">
      <c r="A5662" t="inlineStr">
        <is>
          <t>A 19574-2021</t>
        </is>
      </c>
      <c r="B5662" s="1" t="n">
        <v>44312</v>
      </c>
      <c r="C5662" s="1" t="n">
        <v>45586</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19622-2021</t>
        </is>
      </c>
      <c r="B5663" s="1" t="n">
        <v>44312</v>
      </c>
      <c r="C5663" s="1" t="n">
        <v>45586</v>
      </c>
      <c r="D5663" t="inlineStr">
        <is>
          <t>VÄSTRA GÖTALANDS LÄN</t>
        </is>
      </c>
      <c r="E5663" t="inlineStr">
        <is>
          <t>TROLLHÄTTAN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19498-2021</t>
        </is>
      </c>
      <c r="B5664" s="1" t="n">
        <v>44312</v>
      </c>
      <c r="C5664" s="1" t="n">
        <v>45586</v>
      </c>
      <c r="D5664" t="inlineStr">
        <is>
          <t>VÄSTRA GÖTALANDS LÄN</t>
        </is>
      </c>
      <c r="E5664" t="inlineStr">
        <is>
          <t>FÄRGELANDA</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19685-2021</t>
        </is>
      </c>
      <c r="B5665" s="1" t="n">
        <v>44312</v>
      </c>
      <c r="C5665" s="1" t="n">
        <v>45586</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19714-2021</t>
        </is>
      </c>
      <c r="B5666" s="1" t="n">
        <v>44312</v>
      </c>
      <c r="C5666" s="1" t="n">
        <v>45586</v>
      </c>
      <c r="D5666" t="inlineStr">
        <is>
          <t>VÄSTRA GÖTALANDS LÄN</t>
        </is>
      </c>
      <c r="E5666" t="inlineStr">
        <is>
          <t>TRANEMO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19492-2021</t>
        </is>
      </c>
      <c r="B5667" s="1" t="n">
        <v>44312</v>
      </c>
      <c r="C5667" s="1" t="n">
        <v>45586</v>
      </c>
      <c r="D5667" t="inlineStr">
        <is>
          <t>VÄSTRA GÖTALANDS LÄN</t>
        </is>
      </c>
      <c r="E5667" t="inlineStr">
        <is>
          <t>STRÖMSTAD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19686-2021</t>
        </is>
      </c>
      <c r="B5668" s="1" t="n">
        <v>44312</v>
      </c>
      <c r="C5668" s="1" t="n">
        <v>45586</v>
      </c>
      <c r="D5668" t="inlineStr">
        <is>
          <t>VÄSTRA GÖTALANDS LÄN</t>
        </is>
      </c>
      <c r="E5668" t="inlineStr">
        <is>
          <t>ULRICEHAMN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19739-2021</t>
        </is>
      </c>
      <c r="B5669" s="1" t="n">
        <v>44313</v>
      </c>
      <c r="C5669" s="1" t="n">
        <v>45586</v>
      </c>
      <c r="D5669" t="inlineStr">
        <is>
          <t>VÄSTRA GÖTALANDS LÄN</t>
        </is>
      </c>
      <c r="E5669" t="inlineStr">
        <is>
          <t>KARLSBORG</t>
        </is>
      </c>
      <c r="F5669" t="inlineStr">
        <is>
          <t>Sveaskog</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19957-2021</t>
        </is>
      </c>
      <c r="B5670" s="1" t="n">
        <v>44313</v>
      </c>
      <c r="C5670" s="1" t="n">
        <v>45586</v>
      </c>
      <c r="D5670" t="inlineStr">
        <is>
          <t>VÄSTRA GÖTALANDS LÄN</t>
        </is>
      </c>
      <c r="E5670" t="inlineStr">
        <is>
          <t>ULRICEHAMN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19818-2021</t>
        </is>
      </c>
      <c r="B5671" s="1" t="n">
        <v>44313</v>
      </c>
      <c r="C5671" s="1" t="n">
        <v>45586</v>
      </c>
      <c r="D5671" t="inlineStr">
        <is>
          <t>VÄSTRA GÖTALANDS LÄN</t>
        </is>
      </c>
      <c r="E5671" t="inlineStr">
        <is>
          <t>TRANEMO</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19950-2021</t>
        </is>
      </c>
      <c r="B5672" s="1" t="n">
        <v>44313</v>
      </c>
      <c r="C5672" s="1" t="n">
        <v>45586</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19779-2021</t>
        </is>
      </c>
      <c r="B5673" s="1" t="n">
        <v>44313</v>
      </c>
      <c r="C5673" s="1" t="n">
        <v>45586</v>
      </c>
      <c r="D5673" t="inlineStr">
        <is>
          <t>VÄSTRA GÖTALANDS LÄN</t>
        </is>
      </c>
      <c r="E5673" t="inlineStr">
        <is>
          <t>BOLLEBYGD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19808-2021</t>
        </is>
      </c>
      <c r="B5674" s="1" t="n">
        <v>44313</v>
      </c>
      <c r="C5674" s="1" t="n">
        <v>45586</v>
      </c>
      <c r="D5674" t="inlineStr">
        <is>
          <t>VÄSTRA GÖTALANDS LÄN</t>
        </is>
      </c>
      <c r="E5674" t="inlineStr">
        <is>
          <t>TRANEMO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19807-2021</t>
        </is>
      </c>
      <c r="B5675" s="1" t="n">
        <v>44313</v>
      </c>
      <c r="C5675" s="1" t="n">
        <v>45586</v>
      </c>
      <c r="D5675" t="inlineStr">
        <is>
          <t>VÄSTRA GÖTALANDS LÄN</t>
        </is>
      </c>
      <c r="E5675" t="inlineStr">
        <is>
          <t>BORÅS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19945-2021</t>
        </is>
      </c>
      <c r="B5676" s="1" t="n">
        <v>44313</v>
      </c>
      <c r="C5676" s="1" t="n">
        <v>45586</v>
      </c>
      <c r="D5676" t="inlineStr">
        <is>
          <t>VÄSTRA GÖTALANDS LÄN</t>
        </is>
      </c>
      <c r="E5676" t="inlineStr">
        <is>
          <t>ULRICEHAMN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19981-2021</t>
        </is>
      </c>
      <c r="B5677" s="1" t="n">
        <v>44313</v>
      </c>
      <c r="C5677" s="1" t="n">
        <v>45586</v>
      </c>
      <c r="D5677" t="inlineStr">
        <is>
          <t>VÄSTRA GÖTALANDS LÄN</t>
        </is>
      </c>
      <c r="E5677" t="inlineStr">
        <is>
          <t>MARK</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19937-2021</t>
        </is>
      </c>
      <c r="B5678" s="1" t="n">
        <v>44313</v>
      </c>
      <c r="C5678" s="1" t="n">
        <v>45586</v>
      </c>
      <c r="D5678" t="inlineStr">
        <is>
          <t>VÄSTRA GÖTALANDS LÄN</t>
        </is>
      </c>
      <c r="E5678" t="inlineStr">
        <is>
          <t>HERRLJUNGA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19941-2021</t>
        </is>
      </c>
      <c r="B5679" s="1" t="n">
        <v>44313</v>
      </c>
      <c r="C5679" s="1" t="n">
        <v>45586</v>
      </c>
      <c r="D5679" t="inlineStr">
        <is>
          <t>VÄSTRA GÖTALANDS LÄN</t>
        </is>
      </c>
      <c r="E5679" t="inlineStr">
        <is>
          <t>HERRLJUNGA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20005-2021</t>
        </is>
      </c>
      <c r="B5680" s="1" t="n">
        <v>44313</v>
      </c>
      <c r="C5680" s="1" t="n">
        <v>45586</v>
      </c>
      <c r="D5680" t="inlineStr">
        <is>
          <t>VÄSTRA GÖTALANDS LÄN</t>
        </is>
      </c>
      <c r="E5680" t="inlineStr">
        <is>
          <t>HERRLJUNGA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20037-2021</t>
        </is>
      </c>
      <c r="B5681" s="1" t="n">
        <v>44313</v>
      </c>
      <c r="C5681" s="1" t="n">
        <v>45586</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20048-2021</t>
        </is>
      </c>
      <c r="B5682" s="1" t="n">
        <v>44313</v>
      </c>
      <c r="C5682" s="1" t="n">
        <v>45586</v>
      </c>
      <c r="D5682" t="inlineStr">
        <is>
          <t>VÄSTRA GÖTALANDS LÄN</t>
        </is>
      </c>
      <c r="E5682" t="inlineStr">
        <is>
          <t>TANUM</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20036-2021</t>
        </is>
      </c>
      <c r="B5683" s="1" t="n">
        <v>44314</v>
      </c>
      <c r="C5683" s="1" t="n">
        <v>45586</v>
      </c>
      <c r="D5683" t="inlineStr">
        <is>
          <t>VÄSTRA GÖTALANDS LÄN</t>
        </is>
      </c>
      <c r="E5683" t="inlineStr">
        <is>
          <t>FÄRGELANDA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20163-2021</t>
        </is>
      </c>
      <c r="B5684" s="1" t="n">
        <v>44314</v>
      </c>
      <c r="C5684" s="1" t="n">
        <v>45586</v>
      </c>
      <c r="D5684" t="inlineStr">
        <is>
          <t>VÄSTRA GÖTALANDS LÄN</t>
        </is>
      </c>
      <c r="E5684" t="inlineStr">
        <is>
          <t>VARA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20138-2021</t>
        </is>
      </c>
      <c r="B5685" s="1" t="n">
        <v>44314</v>
      </c>
      <c r="C5685" s="1" t="n">
        <v>45586</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20110-2021</t>
        </is>
      </c>
      <c r="B5686" s="1" t="n">
        <v>44314</v>
      </c>
      <c r="C5686" s="1" t="n">
        <v>45586</v>
      </c>
      <c r="D5686" t="inlineStr">
        <is>
          <t>VÄSTRA GÖTALANDS LÄN</t>
        </is>
      </c>
      <c r="E5686" t="inlineStr">
        <is>
          <t>BORÅS</t>
        </is>
      </c>
      <c r="F5686" t="inlineStr">
        <is>
          <t>Kommuner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20173-2021</t>
        </is>
      </c>
      <c r="B5687" s="1" t="n">
        <v>44314</v>
      </c>
      <c r="C5687" s="1" t="n">
        <v>45586</v>
      </c>
      <c r="D5687" t="inlineStr">
        <is>
          <t>VÄSTRA GÖTALANDS LÄN</t>
        </is>
      </c>
      <c r="E5687" t="inlineStr">
        <is>
          <t>TROLLHÄTTAN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20269-2021</t>
        </is>
      </c>
      <c r="B5688" s="1" t="n">
        <v>44314</v>
      </c>
      <c r="C5688" s="1" t="n">
        <v>45586</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20260-2021</t>
        </is>
      </c>
      <c r="B5689" s="1" t="n">
        <v>44314</v>
      </c>
      <c r="C5689" s="1" t="n">
        <v>45586</v>
      </c>
      <c r="D5689" t="inlineStr">
        <is>
          <t>VÄSTRA GÖTALANDS LÄN</t>
        </is>
      </c>
      <c r="E5689" t="inlineStr">
        <is>
          <t>VÅRGÅRDA</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20267-2021</t>
        </is>
      </c>
      <c r="B5690" s="1" t="n">
        <v>44314</v>
      </c>
      <c r="C5690" s="1" t="n">
        <v>45586</v>
      </c>
      <c r="D5690" t="inlineStr">
        <is>
          <t>VÄSTRA GÖTALANDS LÄN</t>
        </is>
      </c>
      <c r="E5690" t="inlineStr">
        <is>
          <t>VÅRGÅRDA</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20272-2021</t>
        </is>
      </c>
      <c r="B5691" s="1" t="n">
        <v>44314</v>
      </c>
      <c r="C5691" s="1" t="n">
        <v>45586</v>
      </c>
      <c r="D5691" t="inlineStr">
        <is>
          <t>VÄSTRA GÖTALANDS LÄN</t>
        </is>
      </c>
      <c r="E5691" t="inlineStr">
        <is>
          <t>VÅRGÅRDA</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20270-2021</t>
        </is>
      </c>
      <c r="B5692" s="1" t="n">
        <v>44314</v>
      </c>
      <c r="C5692" s="1" t="n">
        <v>45586</v>
      </c>
      <c r="D5692" t="inlineStr">
        <is>
          <t>VÄSTRA GÖTALANDS LÄN</t>
        </is>
      </c>
      <c r="E5692" t="inlineStr">
        <is>
          <t>VÅRGÅRDA</t>
        </is>
      </c>
      <c r="F5692" t="inlineStr">
        <is>
          <t>Kyrkan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20195-2021</t>
        </is>
      </c>
      <c r="B5693" s="1" t="n">
        <v>44314</v>
      </c>
      <c r="C5693" s="1" t="n">
        <v>45586</v>
      </c>
      <c r="D5693" t="inlineStr">
        <is>
          <t>VÄSTRA GÖTALANDS LÄN</t>
        </is>
      </c>
      <c r="E5693" t="inlineStr">
        <is>
          <t>TANUM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20523-2021</t>
        </is>
      </c>
      <c r="B5694" s="1" t="n">
        <v>44315</v>
      </c>
      <c r="C5694" s="1" t="n">
        <v>45586</v>
      </c>
      <c r="D5694" t="inlineStr">
        <is>
          <t>VÄSTRA GÖTALANDS LÄN</t>
        </is>
      </c>
      <c r="E5694" t="inlineStr">
        <is>
          <t>GRÄSTORP</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20369-2021</t>
        </is>
      </c>
      <c r="B5695" s="1" t="n">
        <v>44315</v>
      </c>
      <c r="C5695" s="1" t="n">
        <v>45586</v>
      </c>
      <c r="D5695" t="inlineStr">
        <is>
          <t>VÄSTRA GÖTALANDS LÄN</t>
        </is>
      </c>
      <c r="E5695" t="inlineStr">
        <is>
          <t>TIBRO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20448-2021</t>
        </is>
      </c>
      <c r="B5696" s="1" t="n">
        <v>44315</v>
      </c>
      <c r="C5696" s="1" t="n">
        <v>45586</v>
      </c>
      <c r="D5696" t="inlineStr">
        <is>
          <t>VÄSTRA GÖTALANDS LÄN</t>
        </is>
      </c>
      <c r="E5696" t="inlineStr">
        <is>
          <t>ALINGSÅS</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20463-2021</t>
        </is>
      </c>
      <c r="B5697" s="1" t="n">
        <v>44315</v>
      </c>
      <c r="C5697" s="1" t="n">
        <v>45586</v>
      </c>
      <c r="D5697" t="inlineStr">
        <is>
          <t>VÄSTRA GÖTALANDS LÄN</t>
        </is>
      </c>
      <c r="E5697" t="inlineStr">
        <is>
          <t>MARK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20362-2021</t>
        </is>
      </c>
      <c r="B5698" s="1" t="n">
        <v>44315</v>
      </c>
      <c r="C5698" s="1" t="n">
        <v>45586</v>
      </c>
      <c r="D5698" t="inlineStr">
        <is>
          <t>VÄSTRA GÖTALANDS LÄN</t>
        </is>
      </c>
      <c r="E5698" t="inlineStr">
        <is>
          <t>GÖTENE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20371-2021</t>
        </is>
      </c>
      <c r="B5699" s="1" t="n">
        <v>44315</v>
      </c>
      <c r="C5699" s="1" t="n">
        <v>45586</v>
      </c>
      <c r="D5699" t="inlineStr">
        <is>
          <t>VÄSTRA GÖTALANDS LÄN</t>
        </is>
      </c>
      <c r="E5699" t="inlineStr">
        <is>
          <t>TIBRO</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20372-2021</t>
        </is>
      </c>
      <c r="B5700" s="1" t="n">
        <v>44315</v>
      </c>
      <c r="C5700" s="1" t="n">
        <v>45586</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20469-2021</t>
        </is>
      </c>
      <c r="B5701" s="1" t="n">
        <v>44315</v>
      </c>
      <c r="C5701" s="1" t="n">
        <v>45586</v>
      </c>
      <c r="D5701" t="inlineStr">
        <is>
          <t>VÄSTRA GÖTALANDS LÄN</t>
        </is>
      </c>
      <c r="E5701" t="inlineStr">
        <is>
          <t>HJO</t>
        </is>
      </c>
      <c r="F5701" t="inlineStr">
        <is>
          <t>Övriga Aktiebolag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20455-2021</t>
        </is>
      </c>
      <c r="B5702" s="1" t="n">
        <v>44315</v>
      </c>
      <c r="C5702" s="1" t="n">
        <v>45586</v>
      </c>
      <c r="D5702" t="inlineStr">
        <is>
          <t>VÄSTRA GÖTALANDS LÄN</t>
        </is>
      </c>
      <c r="E5702" t="inlineStr">
        <is>
          <t>KARLSBORG</t>
        </is>
      </c>
      <c r="F5702" t="inlineStr">
        <is>
          <t>Övriga Aktiebolag</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20467-2021</t>
        </is>
      </c>
      <c r="B5703" s="1" t="n">
        <v>44315</v>
      </c>
      <c r="C5703" s="1" t="n">
        <v>45586</v>
      </c>
      <c r="D5703" t="inlineStr">
        <is>
          <t>VÄSTRA GÖTALANDS LÄN</t>
        </is>
      </c>
      <c r="E5703" t="inlineStr">
        <is>
          <t>KARLSBORG</t>
        </is>
      </c>
      <c r="F5703" t="inlineStr">
        <is>
          <t>Övriga Aktiebolag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20651-2021</t>
        </is>
      </c>
      <c r="B5704" s="1" t="n">
        <v>44316</v>
      </c>
      <c r="C5704" s="1" t="n">
        <v>45586</v>
      </c>
      <c r="D5704" t="inlineStr">
        <is>
          <t>VÄSTRA GÖTALANDS LÄN</t>
        </is>
      </c>
      <c r="E5704" t="inlineStr">
        <is>
          <t>HJO</t>
        </is>
      </c>
      <c r="F5704" t="inlineStr">
        <is>
          <t>Övriga Aktiebolag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20631-2021</t>
        </is>
      </c>
      <c r="B5705" s="1" t="n">
        <v>44316</v>
      </c>
      <c r="C5705" s="1" t="n">
        <v>45586</v>
      </c>
      <c r="D5705" t="inlineStr">
        <is>
          <t>VÄSTRA GÖTALANDS LÄN</t>
        </is>
      </c>
      <c r="E5705" t="inlineStr">
        <is>
          <t>VÅRGÅRDA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20656-2021</t>
        </is>
      </c>
      <c r="B5706" s="1" t="n">
        <v>44316</v>
      </c>
      <c r="C5706" s="1" t="n">
        <v>45586</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20683-2021</t>
        </is>
      </c>
      <c r="B5707" s="1" t="n">
        <v>44316</v>
      </c>
      <c r="C5707" s="1" t="n">
        <v>45586</v>
      </c>
      <c r="D5707" t="inlineStr">
        <is>
          <t>VÄSTRA GÖTALANDS LÄN</t>
        </is>
      </c>
      <c r="E5707" t="inlineStr">
        <is>
          <t>TROLLHÄTTAN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21430-2021</t>
        </is>
      </c>
      <c r="B5708" s="1" t="n">
        <v>44316</v>
      </c>
      <c r="C5708" s="1" t="n">
        <v>45586</v>
      </c>
      <c r="D5708" t="inlineStr">
        <is>
          <t>VÄSTRA GÖTALANDS LÄN</t>
        </is>
      </c>
      <c r="E5708" t="inlineStr">
        <is>
          <t>TANUM</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21421-2021</t>
        </is>
      </c>
      <c r="B5709" s="1" t="n">
        <v>44316</v>
      </c>
      <c r="C5709" s="1" t="n">
        <v>45586</v>
      </c>
      <c r="D5709" t="inlineStr">
        <is>
          <t>VÄSTRA GÖTALANDS LÄN</t>
        </is>
      </c>
      <c r="E5709" t="inlineStr">
        <is>
          <t>SOTENÄS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20978-2021</t>
        </is>
      </c>
      <c r="B5710" s="1" t="n">
        <v>44318</v>
      </c>
      <c r="C5710" s="1" t="n">
        <v>45586</v>
      </c>
      <c r="D5710" t="inlineStr">
        <is>
          <t>VÄSTRA GÖTALANDS LÄN</t>
        </is>
      </c>
      <c r="E5710" t="inlineStr">
        <is>
          <t>TANUM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21436-2021</t>
        </is>
      </c>
      <c r="B5711" s="1" t="n">
        <v>44318</v>
      </c>
      <c r="C5711" s="1" t="n">
        <v>45586</v>
      </c>
      <c r="D5711" t="inlineStr">
        <is>
          <t>VÄSTRA GÖTALANDS LÄN</t>
        </is>
      </c>
      <c r="E5711" t="inlineStr">
        <is>
          <t>TIBRO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20973-2021</t>
        </is>
      </c>
      <c r="B5712" s="1" t="n">
        <v>44318</v>
      </c>
      <c r="C5712" s="1" t="n">
        <v>45586</v>
      </c>
      <c r="D5712" t="inlineStr">
        <is>
          <t>VÄSTRA GÖTALANDS LÄN</t>
        </is>
      </c>
      <c r="E5712" t="inlineStr">
        <is>
          <t>STRÖMSTAD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20993-2021</t>
        </is>
      </c>
      <c r="B5713" s="1" t="n">
        <v>44318</v>
      </c>
      <c r="C5713" s="1" t="n">
        <v>45586</v>
      </c>
      <c r="D5713" t="inlineStr">
        <is>
          <t>VÄSTRA GÖTALANDS LÄN</t>
        </is>
      </c>
      <c r="E5713" t="inlineStr">
        <is>
          <t>TANUM</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21426-2021</t>
        </is>
      </c>
      <c r="B5714" s="1" t="n">
        <v>44318</v>
      </c>
      <c r="C5714" s="1" t="n">
        <v>45586</v>
      </c>
      <c r="D5714" t="inlineStr">
        <is>
          <t>VÄSTRA GÖTALANDS LÄN</t>
        </is>
      </c>
      <c r="E5714" t="inlineStr">
        <is>
          <t>TIBRO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20936-2021</t>
        </is>
      </c>
      <c r="B5715" s="1" t="n">
        <v>44318</v>
      </c>
      <c r="C5715" s="1" t="n">
        <v>45586</v>
      </c>
      <c r="D5715" t="inlineStr">
        <is>
          <t>VÄSTRA GÖTALANDS LÄN</t>
        </is>
      </c>
      <c r="E5715" t="inlineStr">
        <is>
          <t>MUNKEDAL</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20982-2021</t>
        </is>
      </c>
      <c r="B5716" s="1" t="n">
        <v>44318</v>
      </c>
      <c r="C5716" s="1" t="n">
        <v>45586</v>
      </c>
      <c r="D5716" t="inlineStr">
        <is>
          <t>VÄSTRA GÖTALANDS LÄN</t>
        </is>
      </c>
      <c r="E5716" t="inlineStr">
        <is>
          <t>TANUM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20869-2021</t>
        </is>
      </c>
      <c r="B5717" s="1" t="n">
        <v>44319</v>
      </c>
      <c r="C5717" s="1" t="n">
        <v>45586</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20943-2021</t>
        </is>
      </c>
      <c r="B5718" s="1" t="n">
        <v>44319</v>
      </c>
      <c r="C5718" s="1" t="n">
        <v>45586</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21020-2021</t>
        </is>
      </c>
      <c r="B5719" s="1" t="n">
        <v>44319</v>
      </c>
      <c r="C5719" s="1" t="n">
        <v>45586</v>
      </c>
      <c r="D5719" t="inlineStr">
        <is>
          <t>VÄSTRA GÖTALANDS LÄN</t>
        </is>
      </c>
      <c r="E5719" t="inlineStr">
        <is>
          <t>MARIESTAD</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21026-2021</t>
        </is>
      </c>
      <c r="B5720" s="1" t="n">
        <v>44319</v>
      </c>
      <c r="C5720" s="1" t="n">
        <v>45586</v>
      </c>
      <c r="D5720" t="inlineStr">
        <is>
          <t>VÄSTRA GÖTALANDS LÄN</t>
        </is>
      </c>
      <c r="E5720" t="inlineStr">
        <is>
          <t>ALE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21061-2021</t>
        </is>
      </c>
      <c r="B5721" s="1" t="n">
        <v>44319</v>
      </c>
      <c r="C5721" s="1" t="n">
        <v>45586</v>
      </c>
      <c r="D5721" t="inlineStr">
        <is>
          <t>VÄSTRA GÖTALANDS LÄN</t>
        </is>
      </c>
      <c r="E5721" t="inlineStr">
        <is>
          <t>SKARA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20874-2021</t>
        </is>
      </c>
      <c r="B5722" s="1" t="n">
        <v>44319</v>
      </c>
      <c r="C5722" s="1" t="n">
        <v>45586</v>
      </c>
      <c r="D5722" t="inlineStr">
        <is>
          <t>VÄSTRA GÖTALANDS LÄN</t>
        </is>
      </c>
      <c r="E5722" t="inlineStr">
        <is>
          <t>ULRICEHAMN</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21017-2021</t>
        </is>
      </c>
      <c r="B5723" s="1" t="n">
        <v>44319</v>
      </c>
      <c r="C5723" s="1" t="n">
        <v>45586</v>
      </c>
      <c r="D5723" t="inlineStr">
        <is>
          <t>VÄSTRA GÖTALANDS LÄN</t>
        </is>
      </c>
      <c r="E5723" t="inlineStr">
        <is>
          <t>MARIESTAD</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21021-2021</t>
        </is>
      </c>
      <c r="B5724" s="1" t="n">
        <v>44319</v>
      </c>
      <c r="C5724" s="1" t="n">
        <v>45586</v>
      </c>
      <c r="D5724" t="inlineStr">
        <is>
          <t>VÄSTRA GÖTALANDS LÄN</t>
        </is>
      </c>
      <c r="E5724" t="inlineStr">
        <is>
          <t>LILLA EDET</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20868-2021</t>
        </is>
      </c>
      <c r="B5725" s="1" t="n">
        <v>44319</v>
      </c>
      <c r="C5725" s="1" t="n">
        <v>45586</v>
      </c>
      <c r="D5725" t="inlineStr">
        <is>
          <t>VÄSTRA GÖTALANDS LÄN</t>
        </is>
      </c>
      <c r="E5725" t="inlineStr">
        <is>
          <t>ULRICEHAMN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20898-2021</t>
        </is>
      </c>
      <c r="B5726" s="1" t="n">
        <v>44319</v>
      </c>
      <c r="C5726" s="1" t="n">
        <v>45586</v>
      </c>
      <c r="D5726" t="inlineStr">
        <is>
          <t>VÄSTRA GÖTALANDS LÄN</t>
        </is>
      </c>
      <c r="E5726" t="inlineStr">
        <is>
          <t>ORUST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20911-2021</t>
        </is>
      </c>
      <c r="B5727" s="1" t="n">
        <v>44319</v>
      </c>
      <c r="C5727" s="1" t="n">
        <v>45586</v>
      </c>
      <c r="D5727" t="inlineStr">
        <is>
          <t>VÄSTRA GÖTALANDS LÄN</t>
        </is>
      </c>
      <c r="E5727" t="inlineStr">
        <is>
          <t>UDDEVALLA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20876-2021</t>
        </is>
      </c>
      <c r="B5728" s="1" t="n">
        <v>44319</v>
      </c>
      <c r="C5728" s="1" t="n">
        <v>45586</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20896-2021</t>
        </is>
      </c>
      <c r="B5729" s="1" t="n">
        <v>44319</v>
      </c>
      <c r="C5729" s="1" t="n">
        <v>45586</v>
      </c>
      <c r="D5729" t="inlineStr">
        <is>
          <t>VÄSTRA GÖTALANDS LÄN</t>
        </is>
      </c>
      <c r="E5729" t="inlineStr">
        <is>
          <t>ORUST</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21052-2021</t>
        </is>
      </c>
      <c r="B5730" s="1" t="n">
        <v>44319</v>
      </c>
      <c r="C5730" s="1" t="n">
        <v>45586</v>
      </c>
      <c r="D5730" t="inlineStr">
        <is>
          <t>VÄSTRA GÖTALANDS LÄN</t>
        </is>
      </c>
      <c r="E5730" t="inlineStr">
        <is>
          <t>ÅMÅL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21064-2021</t>
        </is>
      </c>
      <c r="B5731" s="1" t="n">
        <v>44319</v>
      </c>
      <c r="C5731" s="1" t="n">
        <v>45586</v>
      </c>
      <c r="D5731" t="inlineStr">
        <is>
          <t>VÄSTRA GÖTALANDS LÄN</t>
        </is>
      </c>
      <c r="E5731" t="inlineStr">
        <is>
          <t>SKARA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21080-2021</t>
        </is>
      </c>
      <c r="B5732" s="1" t="n">
        <v>44319</v>
      </c>
      <c r="C5732" s="1" t="n">
        <v>45586</v>
      </c>
      <c r="D5732" t="inlineStr">
        <is>
          <t>VÄSTRA GÖTALANDS LÄN</t>
        </is>
      </c>
      <c r="E5732" t="inlineStr">
        <is>
          <t>TROLLHÄTTAN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21059-2021</t>
        </is>
      </c>
      <c r="B5733" s="1" t="n">
        <v>44319</v>
      </c>
      <c r="C5733" s="1" t="n">
        <v>45586</v>
      </c>
      <c r="D5733" t="inlineStr">
        <is>
          <t>VÄSTRA GÖTALANDS LÄN</t>
        </is>
      </c>
      <c r="E5733" t="inlineStr">
        <is>
          <t>SKARA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21112-2021</t>
        </is>
      </c>
      <c r="B5734" s="1" t="n">
        <v>44319</v>
      </c>
      <c r="C5734" s="1" t="n">
        <v>45586</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21204-2021</t>
        </is>
      </c>
      <c r="B5735" s="1" t="n">
        <v>44320</v>
      </c>
      <c r="C5735" s="1" t="n">
        <v>45586</v>
      </c>
      <c r="D5735" t="inlineStr">
        <is>
          <t>VÄSTRA GÖTALANDS LÄN</t>
        </is>
      </c>
      <c r="E5735" t="inlineStr">
        <is>
          <t>ESSUNGA</t>
        </is>
      </c>
      <c r="F5735" t="inlineStr">
        <is>
          <t>Allmännings- och besparingsskogar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21242-2021</t>
        </is>
      </c>
      <c r="B5736" s="1" t="n">
        <v>44320</v>
      </c>
      <c r="C5736" s="1" t="n">
        <v>45586</v>
      </c>
      <c r="D5736" t="inlineStr">
        <is>
          <t>VÄSTRA GÖTALANDS LÄN</t>
        </is>
      </c>
      <c r="E5736" t="inlineStr">
        <is>
          <t>SVENLJUNGA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21116-2021</t>
        </is>
      </c>
      <c r="B5737" s="1" t="n">
        <v>44320</v>
      </c>
      <c r="C5737" s="1" t="n">
        <v>45586</v>
      </c>
      <c r="D5737" t="inlineStr">
        <is>
          <t>VÄSTRA GÖTALANDS LÄN</t>
        </is>
      </c>
      <c r="E5737" t="inlineStr">
        <is>
          <t>HERRLJUNGA</t>
        </is>
      </c>
      <c r="F5737" t="inlineStr">
        <is>
          <t>Sveaskog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21232-2021</t>
        </is>
      </c>
      <c r="B5738" s="1" t="n">
        <v>44320</v>
      </c>
      <c r="C5738" s="1" t="n">
        <v>45586</v>
      </c>
      <c r="D5738" t="inlineStr">
        <is>
          <t>VÄSTRA GÖTALANDS LÄN</t>
        </is>
      </c>
      <c r="E5738" t="inlineStr">
        <is>
          <t>ULRICEHAMN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21275-2021</t>
        </is>
      </c>
      <c r="B5739" s="1" t="n">
        <v>44320</v>
      </c>
      <c r="C5739" s="1" t="n">
        <v>45586</v>
      </c>
      <c r="D5739" t="inlineStr">
        <is>
          <t>VÄSTRA GÖTALANDS LÄN</t>
        </is>
      </c>
      <c r="E5739" t="inlineStr">
        <is>
          <t>TÖREBODA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21281-2021</t>
        </is>
      </c>
      <c r="B5740" s="1" t="n">
        <v>44320</v>
      </c>
      <c r="C5740" s="1" t="n">
        <v>45586</v>
      </c>
      <c r="D5740" t="inlineStr">
        <is>
          <t>VÄSTRA GÖTALANDS LÄN</t>
        </is>
      </c>
      <c r="E5740" t="inlineStr">
        <is>
          <t>ALE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21321-2021</t>
        </is>
      </c>
      <c r="B5741" s="1" t="n">
        <v>44320</v>
      </c>
      <c r="C5741" s="1" t="n">
        <v>45586</v>
      </c>
      <c r="D5741" t="inlineStr">
        <is>
          <t>VÄSTRA GÖTALANDS LÄN</t>
        </is>
      </c>
      <c r="E5741" t="inlineStr">
        <is>
          <t>TIBRO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21487-2021</t>
        </is>
      </c>
      <c r="B5742" s="1" t="n">
        <v>44320</v>
      </c>
      <c r="C5742" s="1" t="n">
        <v>45586</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21318-2021</t>
        </is>
      </c>
      <c r="B5743" s="1" t="n">
        <v>44320</v>
      </c>
      <c r="C5743" s="1" t="n">
        <v>45586</v>
      </c>
      <c r="D5743" t="inlineStr">
        <is>
          <t>VÄSTRA GÖTALANDS LÄN</t>
        </is>
      </c>
      <c r="E5743" t="inlineStr">
        <is>
          <t>STENUNGSUND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21369-2021</t>
        </is>
      </c>
      <c r="B5744" s="1" t="n">
        <v>44321</v>
      </c>
      <c r="C5744" s="1" t="n">
        <v>45586</v>
      </c>
      <c r="D5744" t="inlineStr">
        <is>
          <t>VÄSTRA GÖTALANDS LÄN</t>
        </is>
      </c>
      <c r="E5744" t="inlineStr">
        <is>
          <t>HJO</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21463-2021</t>
        </is>
      </c>
      <c r="B5745" s="1" t="n">
        <v>44321</v>
      </c>
      <c r="C5745" s="1" t="n">
        <v>45586</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21497-2021</t>
        </is>
      </c>
      <c r="B5746" s="1" t="n">
        <v>44321</v>
      </c>
      <c r="C5746" s="1" t="n">
        <v>45586</v>
      </c>
      <c r="D5746" t="inlineStr">
        <is>
          <t>VÄSTRA GÖTALANDS LÄN</t>
        </is>
      </c>
      <c r="E5746" t="inlineStr">
        <is>
          <t>SKARA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21493-2021</t>
        </is>
      </c>
      <c r="B5747" s="1" t="n">
        <v>44321</v>
      </c>
      <c r="C5747" s="1" t="n">
        <v>45586</v>
      </c>
      <c r="D5747" t="inlineStr">
        <is>
          <t>VÄSTRA GÖTALANDS LÄN</t>
        </is>
      </c>
      <c r="E5747" t="inlineStr">
        <is>
          <t>SKÖVDE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21470-2021</t>
        </is>
      </c>
      <c r="B5748" s="1" t="n">
        <v>44321</v>
      </c>
      <c r="C5748" s="1" t="n">
        <v>45586</v>
      </c>
      <c r="D5748" t="inlineStr">
        <is>
          <t>VÄSTRA GÖTALANDS LÄN</t>
        </is>
      </c>
      <c r="E5748" t="inlineStr">
        <is>
          <t>BENGTSFORS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21586-2021</t>
        </is>
      </c>
      <c r="B5749" s="1" t="n">
        <v>44321</v>
      </c>
      <c r="C5749" s="1" t="n">
        <v>45586</v>
      </c>
      <c r="D5749" t="inlineStr">
        <is>
          <t>VÄSTRA GÖTALANDS LÄN</t>
        </is>
      </c>
      <c r="E5749" t="inlineStr">
        <is>
          <t>MARK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21770-2021</t>
        </is>
      </c>
      <c r="B5750" s="1" t="n">
        <v>44321</v>
      </c>
      <c r="C5750" s="1" t="n">
        <v>45586</v>
      </c>
      <c r="D5750" t="inlineStr">
        <is>
          <t>VÄSTRA GÖTALANDS LÄN</t>
        </is>
      </c>
      <c r="E5750" t="inlineStr">
        <is>
          <t>GULLSPÅNG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21578-2021</t>
        </is>
      </c>
      <c r="B5751" s="1" t="n">
        <v>44321</v>
      </c>
      <c r="C5751" s="1" t="n">
        <v>45586</v>
      </c>
      <c r="D5751" t="inlineStr">
        <is>
          <t>VÄSTRA GÖTALANDS LÄN</t>
        </is>
      </c>
      <c r="E5751" t="inlineStr">
        <is>
          <t>HÄRRYDA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21587-2021</t>
        </is>
      </c>
      <c r="B5752" s="1" t="n">
        <v>44321</v>
      </c>
      <c r="C5752" s="1" t="n">
        <v>45586</v>
      </c>
      <c r="D5752" t="inlineStr">
        <is>
          <t>VÄSTRA GÖTALANDS LÄN</t>
        </is>
      </c>
      <c r="E5752" t="inlineStr">
        <is>
          <t>TANUM</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21614-2021</t>
        </is>
      </c>
      <c r="B5753" s="1" t="n">
        <v>44321</v>
      </c>
      <c r="C5753" s="1" t="n">
        <v>45586</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21842-2021</t>
        </is>
      </c>
      <c r="B5754" s="1" t="n">
        <v>44322</v>
      </c>
      <c r="C5754" s="1" t="n">
        <v>45586</v>
      </c>
      <c r="D5754" t="inlineStr">
        <is>
          <t>VÄSTRA GÖTALANDS LÄN</t>
        </is>
      </c>
      <c r="E5754" t="inlineStr">
        <is>
          <t>MÖLNDAL</t>
        </is>
      </c>
      <c r="F5754" t="inlineStr">
        <is>
          <t>Kommuner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21774-2021</t>
        </is>
      </c>
      <c r="B5755" s="1" t="n">
        <v>44322</v>
      </c>
      <c r="C5755" s="1" t="n">
        <v>45586</v>
      </c>
      <c r="D5755" t="inlineStr">
        <is>
          <t>VÄSTRA GÖTALANDS LÄN</t>
        </is>
      </c>
      <c r="E5755" t="inlineStr">
        <is>
          <t>FALKÖPING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21883-2021</t>
        </is>
      </c>
      <c r="B5756" s="1" t="n">
        <v>44322</v>
      </c>
      <c r="C5756" s="1" t="n">
        <v>45586</v>
      </c>
      <c r="D5756" t="inlineStr">
        <is>
          <t>VÄSTRA GÖTALANDS LÄN</t>
        </is>
      </c>
      <c r="E5756" t="inlineStr">
        <is>
          <t>KUNGÄLV</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21947-2021</t>
        </is>
      </c>
      <c r="B5757" s="1" t="n">
        <v>44323</v>
      </c>
      <c r="C5757" s="1" t="n">
        <v>45586</v>
      </c>
      <c r="D5757" t="inlineStr">
        <is>
          <t>VÄSTRA GÖTALANDS LÄN</t>
        </is>
      </c>
      <c r="E5757" t="inlineStr">
        <is>
          <t>GULLSPÅNG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22557-2021</t>
        </is>
      </c>
      <c r="B5758" s="1" t="n">
        <v>44322</v>
      </c>
      <c r="C5758" s="1" t="n">
        <v>45586</v>
      </c>
      <c r="D5758" t="inlineStr">
        <is>
          <t>VÄSTRA GÖTALANDS LÄN</t>
        </is>
      </c>
      <c r="E5758" t="inlineStr">
        <is>
          <t>VÄNERSBORG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21899-2021</t>
        </is>
      </c>
      <c r="B5759" s="1" t="n">
        <v>44322</v>
      </c>
      <c r="C5759" s="1" t="n">
        <v>45586</v>
      </c>
      <c r="D5759" t="inlineStr">
        <is>
          <t>VÄSTRA GÖTALANDS LÄN</t>
        </is>
      </c>
      <c r="E5759" t="inlineStr">
        <is>
          <t>KUNGÄLV</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21650-2021</t>
        </is>
      </c>
      <c r="B5760" s="1" t="n">
        <v>44322</v>
      </c>
      <c r="C5760" s="1" t="n">
        <v>45586</v>
      </c>
      <c r="D5760" t="inlineStr">
        <is>
          <t>VÄSTRA GÖTALANDS LÄN</t>
        </is>
      </c>
      <c r="E5760" t="inlineStr">
        <is>
          <t>TROLLHÄTTAN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21978-2021</t>
        </is>
      </c>
      <c r="B5761" s="1" t="n">
        <v>44323</v>
      </c>
      <c r="C5761" s="1" t="n">
        <v>45586</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22047-2021</t>
        </is>
      </c>
      <c r="B5762" s="1" t="n">
        <v>44323</v>
      </c>
      <c r="C5762" s="1" t="n">
        <v>45586</v>
      </c>
      <c r="D5762" t="inlineStr">
        <is>
          <t>VÄSTRA GÖTALANDS LÄN</t>
        </is>
      </c>
      <c r="E5762" t="inlineStr">
        <is>
          <t>BORÅS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22114-2021</t>
        </is>
      </c>
      <c r="B5763" s="1" t="n">
        <v>44323</v>
      </c>
      <c r="C5763" s="1" t="n">
        <v>45586</v>
      </c>
      <c r="D5763" t="inlineStr">
        <is>
          <t>VÄSTRA GÖTALANDS LÄN</t>
        </is>
      </c>
      <c r="E5763" t="inlineStr">
        <is>
          <t>BOLLEBYGD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22734-2021</t>
        </is>
      </c>
      <c r="B5764" s="1" t="n">
        <v>44323</v>
      </c>
      <c r="C5764" s="1" t="n">
        <v>45586</v>
      </c>
      <c r="D5764" t="inlineStr">
        <is>
          <t>VÄSTRA GÖTALANDS LÄN</t>
        </is>
      </c>
      <c r="E5764" t="inlineStr">
        <is>
          <t>TRANEMO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22729-2021</t>
        </is>
      </c>
      <c r="B5765" s="1" t="n">
        <v>44323</v>
      </c>
      <c r="C5765" s="1" t="n">
        <v>45586</v>
      </c>
      <c r="D5765" t="inlineStr">
        <is>
          <t>VÄSTRA GÖTALANDS LÄN</t>
        </is>
      </c>
      <c r="E5765" t="inlineStr">
        <is>
          <t>TRANEMO</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22826-2021</t>
        </is>
      </c>
      <c r="B5766" s="1" t="n">
        <v>44323</v>
      </c>
      <c r="C5766" s="1" t="n">
        <v>45586</v>
      </c>
      <c r="D5766" t="inlineStr">
        <is>
          <t>VÄSTRA GÖTALANDS LÄN</t>
        </is>
      </c>
      <c r="E5766" t="inlineStr">
        <is>
          <t>TRANEMO</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22138-2021</t>
        </is>
      </c>
      <c r="B5767" s="1" t="n">
        <v>44324</v>
      </c>
      <c r="C5767" s="1" t="n">
        <v>45586</v>
      </c>
      <c r="D5767" t="inlineStr">
        <is>
          <t>VÄSTRA GÖTALANDS LÄN</t>
        </is>
      </c>
      <c r="E5767" t="inlineStr">
        <is>
          <t>ALE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22156-2021</t>
        </is>
      </c>
      <c r="B5768" s="1" t="n">
        <v>44325</v>
      </c>
      <c r="C5768" s="1" t="n">
        <v>45586</v>
      </c>
      <c r="D5768" t="inlineStr">
        <is>
          <t>VÄSTRA GÖTALANDS LÄN</t>
        </is>
      </c>
      <c r="E5768" t="inlineStr">
        <is>
          <t>ÅMÅL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22161-2021</t>
        </is>
      </c>
      <c r="B5769" s="1" t="n">
        <v>44325</v>
      </c>
      <c r="C5769" s="1" t="n">
        <v>45586</v>
      </c>
      <c r="D5769" t="inlineStr">
        <is>
          <t>VÄSTRA GÖTALANDS LÄN</t>
        </is>
      </c>
      <c r="E5769" t="inlineStr">
        <is>
          <t>BORÅS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22151-2021</t>
        </is>
      </c>
      <c r="B5770" s="1" t="n">
        <v>44325</v>
      </c>
      <c r="C5770" s="1" t="n">
        <v>45586</v>
      </c>
      <c r="D5770" t="inlineStr">
        <is>
          <t>VÄSTRA GÖTALANDS LÄN</t>
        </is>
      </c>
      <c r="E5770" t="inlineStr">
        <is>
          <t>ULRICEHAMN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22157-2021</t>
        </is>
      </c>
      <c r="B5771" s="1" t="n">
        <v>44325</v>
      </c>
      <c r="C5771" s="1" t="n">
        <v>45586</v>
      </c>
      <c r="D5771" t="inlineStr">
        <is>
          <t>VÄSTRA GÖTALANDS LÄN</t>
        </is>
      </c>
      <c r="E5771" t="inlineStr">
        <is>
          <t>ÅMÅL</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22162-2021</t>
        </is>
      </c>
      <c r="B5772" s="1" t="n">
        <v>44325</v>
      </c>
      <c r="C5772" s="1" t="n">
        <v>45586</v>
      </c>
      <c r="D5772" t="inlineStr">
        <is>
          <t>VÄSTRA GÖTALANDS LÄN</t>
        </is>
      </c>
      <c r="E5772" t="inlineStr">
        <is>
          <t>MUNKEDAL</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22255-2021</t>
        </is>
      </c>
      <c r="B5773" s="1" t="n">
        <v>44326</v>
      </c>
      <c r="C5773" s="1" t="n">
        <v>45586</v>
      </c>
      <c r="D5773" t="inlineStr">
        <is>
          <t>VÄSTRA GÖTALANDS LÄN</t>
        </is>
      </c>
      <c r="E5773" t="inlineStr">
        <is>
          <t>ORUST</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22264-2021</t>
        </is>
      </c>
      <c r="B5774" s="1" t="n">
        <v>44326</v>
      </c>
      <c r="C5774" s="1" t="n">
        <v>45586</v>
      </c>
      <c r="D5774" t="inlineStr">
        <is>
          <t>VÄSTRA GÖTALANDS LÄN</t>
        </is>
      </c>
      <c r="E5774" t="inlineStr">
        <is>
          <t>TÖREBODA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22200-2021</t>
        </is>
      </c>
      <c r="B5775" s="1" t="n">
        <v>44326</v>
      </c>
      <c r="C5775" s="1" t="n">
        <v>45586</v>
      </c>
      <c r="D5775" t="inlineStr">
        <is>
          <t>VÄSTRA GÖTALANDS LÄN</t>
        </is>
      </c>
      <c r="E5775" t="inlineStr">
        <is>
          <t>DALS-ED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22265-2021</t>
        </is>
      </c>
      <c r="B5776" s="1" t="n">
        <v>44326</v>
      </c>
      <c r="C5776" s="1" t="n">
        <v>45586</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22297-2021</t>
        </is>
      </c>
      <c r="B5777" s="1" t="n">
        <v>44326</v>
      </c>
      <c r="C5777" s="1" t="n">
        <v>45586</v>
      </c>
      <c r="D5777" t="inlineStr">
        <is>
          <t>VÄSTRA GÖTALANDS LÄN</t>
        </is>
      </c>
      <c r="E5777" t="inlineStr">
        <is>
          <t>TÖREBODA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22316-2021</t>
        </is>
      </c>
      <c r="B5778" s="1" t="n">
        <v>44326</v>
      </c>
      <c r="C5778" s="1" t="n">
        <v>45586</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22452-2021</t>
        </is>
      </c>
      <c r="B5779" s="1" t="n">
        <v>44326</v>
      </c>
      <c r="C5779" s="1" t="n">
        <v>45586</v>
      </c>
      <c r="D5779" t="inlineStr">
        <is>
          <t>VÄSTRA GÖTALANDS LÄN</t>
        </is>
      </c>
      <c r="E5779" t="inlineStr">
        <is>
          <t>ORUST</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22628-2021</t>
        </is>
      </c>
      <c r="B5780" s="1" t="n">
        <v>44326</v>
      </c>
      <c r="C5780" s="1" t="n">
        <v>45586</v>
      </c>
      <c r="D5780" t="inlineStr">
        <is>
          <t>VÄSTRA GÖTALANDS LÄN</t>
        </is>
      </c>
      <c r="E5780" t="inlineStr">
        <is>
          <t>BENGTSFORS</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22893-2021</t>
        </is>
      </c>
      <c r="B5781" s="1" t="n">
        <v>44326</v>
      </c>
      <c r="C5781" s="1" t="n">
        <v>45586</v>
      </c>
      <c r="D5781" t="inlineStr">
        <is>
          <t>VÄSTRA GÖTALANDS LÄN</t>
        </is>
      </c>
      <c r="E5781" t="inlineStr">
        <is>
          <t>MELLERUD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22683-2021</t>
        </is>
      </c>
      <c r="B5782" s="1" t="n">
        <v>44327</v>
      </c>
      <c r="C5782" s="1" t="n">
        <v>45586</v>
      </c>
      <c r="D5782" t="inlineStr">
        <is>
          <t>VÄSTRA GÖTALANDS LÄN</t>
        </is>
      </c>
      <c r="E5782" t="inlineStr">
        <is>
          <t>ESSUNGA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22766-2021</t>
        </is>
      </c>
      <c r="B5783" s="1" t="n">
        <v>44327</v>
      </c>
      <c r="C5783" s="1" t="n">
        <v>45586</v>
      </c>
      <c r="D5783" t="inlineStr">
        <is>
          <t>VÄSTRA GÖTALANDS LÄN</t>
        </is>
      </c>
      <c r="E5783" t="inlineStr">
        <is>
          <t>TANUM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22710-2021</t>
        </is>
      </c>
      <c r="B5784" s="1" t="n">
        <v>44327</v>
      </c>
      <c r="C5784" s="1" t="n">
        <v>45586</v>
      </c>
      <c r="D5784" t="inlineStr">
        <is>
          <t>VÄSTRA GÖTALANDS LÄN</t>
        </is>
      </c>
      <c r="E5784" t="inlineStr">
        <is>
          <t>HERRLJUNGA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22719-2021</t>
        </is>
      </c>
      <c r="B5785" s="1" t="n">
        <v>44327</v>
      </c>
      <c r="C5785" s="1" t="n">
        <v>45586</v>
      </c>
      <c r="D5785" t="inlineStr">
        <is>
          <t>VÄSTRA GÖTALANDS LÄN</t>
        </is>
      </c>
      <c r="E5785" t="inlineStr">
        <is>
          <t>UDDEVALLA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22717-2021</t>
        </is>
      </c>
      <c r="B5786" s="1" t="n">
        <v>44327</v>
      </c>
      <c r="C5786" s="1" t="n">
        <v>45586</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22764-2021</t>
        </is>
      </c>
      <c r="B5787" s="1" t="n">
        <v>44327</v>
      </c>
      <c r="C5787" s="1" t="n">
        <v>45586</v>
      </c>
      <c r="D5787" t="inlineStr">
        <is>
          <t>VÄSTRA GÖTALANDS LÄN</t>
        </is>
      </c>
      <c r="E5787" t="inlineStr">
        <is>
          <t>TANUM</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22769-2021</t>
        </is>
      </c>
      <c r="B5788" s="1" t="n">
        <v>44327</v>
      </c>
      <c r="C5788" s="1" t="n">
        <v>45586</v>
      </c>
      <c r="D5788" t="inlineStr">
        <is>
          <t>VÄSTRA GÖTALANDS LÄN</t>
        </is>
      </c>
      <c r="E5788" t="inlineStr">
        <is>
          <t>TANUM</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22698-2021</t>
        </is>
      </c>
      <c r="B5789" s="1" t="n">
        <v>44327</v>
      </c>
      <c r="C5789" s="1" t="n">
        <v>45586</v>
      </c>
      <c r="D5789" t="inlineStr">
        <is>
          <t>VÄSTRA GÖTALANDS LÄN</t>
        </is>
      </c>
      <c r="E5789" t="inlineStr">
        <is>
          <t>MARK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22704-2021</t>
        </is>
      </c>
      <c r="B5790" s="1" t="n">
        <v>44327</v>
      </c>
      <c r="C5790" s="1" t="n">
        <v>45586</v>
      </c>
      <c r="D5790" t="inlineStr">
        <is>
          <t>VÄSTRA GÖTALANDS LÄN</t>
        </is>
      </c>
      <c r="E5790" t="inlineStr">
        <is>
          <t>TRANEMO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22724-2021</t>
        </is>
      </c>
      <c r="B5791" s="1" t="n">
        <v>44327</v>
      </c>
      <c r="C5791" s="1" t="n">
        <v>45586</v>
      </c>
      <c r="D5791" t="inlineStr">
        <is>
          <t>VÄSTRA GÖTALANDS LÄN</t>
        </is>
      </c>
      <c r="E5791" t="inlineStr">
        <is>
          <t>BOLLEBYGD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22984-2021</t>
        </is>
      </c>
      <c r="B5792" s="1" t="n">
        <v>44327</v>
      </c>
      <c r="C5792" s="1" t="n">
        <v>45586</v>
      </c>
      <c r="D5792" t="inlineStr">
        <is>
          <t>VÄSTRA GÖTALANDS LÄN</t>
        </is>
      </c>
      <c r="E5792" t="inlineStr">
        <is>
          <t>TRANEMO</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22771-2021</t>
        </is>
      </c>
      <c r="B5793" s="1" t="n">
        <v>44327</v>
      </c>
      <c r="C5793" s="1" t="n">
        <v>45586</v>
      </c>
      <c r="D5793" t="inlineStr">
        <is>
          <t>VÄSTRA GÖTALANDS LÄN</t>
        </is>
      </c>
      <c r="E5793" t="inlineStr">
        <is>
          <t>TANUM</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22770-2021</t>
        </is>
      </c>
      <c r="B5794" s="1" t="n">
        <v>44327</v>
      </c>
      <c r="C5794" s="1" t="n">
        <v>45586</v>
      </c>
      <c r="D5794" t="inlineStr">
        <is>
          <t>VÄSTRA GÖTALANDS LÄN</t>
        </is>
      </c>
      <c r="E5794" t="inlineStr">
        <is>
          <t>TANUM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22846-2021</t>
        </is>
      </c>
      <c r="B5795" s="1" t="n">
        <v>44328</v>
      </c>
      <c r="C5795" s="1" t="n">
        <v>45586</v>
      </c>
      <c r="D5795" t="inlineStr">
        <is>
          <t>VÄSTRA GÖTALANDS LÄN</t>
        </is>
      </c>
      <c r="E5795" t="inlineStr">
        <is>
          <t>MARK</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22847-2021</t>
        </is>
      </c>
      <c r="B5796" s="1" t="n">
        <v>44328</v>
      </c>
      <c r="C5796" s="1" t="n">
        <v>45586</v>
      </c>
      <c r="D5796" t="inlineStr">
        <is>
          <t>VÄSTRA GÖTALANDS LÄN</t>
        </is>
      </c>
      <c r="E5796" t="inlineStr">
        <is>
          <t>DALS-ED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22896-2021</t>
        </is>
      </c>
      <c r="B5797" s="1" t="n">
        <v>44328</v>
      </c>
      <c r="C5797" s="1" t="n">
        <v>45586</v>
      </c>
      <c r="D5797" t="inlineStr">
        <is>
          <t>VÄSTRA GÖTALANDS LÄN</t>
        </is>
      </c>
      <c r="E5797" t="inlineStr">
        <is>
          <t>TÖREBODA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22905-2021</t>
        </is>
      </c>
      <c r="B5798" s="1" t="n">
        <v>44328</v>
      </c>
      <c r="C5798" s="1" t="n">
        <v>45586</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22912-2021</t>
        </is>
      </c>
      <c r="B5799" s="1" t="n">
        <v>44328</v>
      </c>
      <c r="C5799" s="1" t="n">
        <v>45586</v>
      </c>
      <c r="D5799" t="inlineStr">
        <is>
          <t>VÄSTRA GÖTALANDS LÄN</t>
        </is>
      </c>
      <c r="E5799" t="inlineStr">
        <is>
          <t>TANUM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22894-2021</t>
        </is>
      </c>
      <c r="B5800" s="1" t="n">
        <v>44328</v>
      </c>
      <c r="C5800" s="1" t="n">
        <v>45586</v>
      </c>
      <c r="D5800" t="inlineStr">
        <is>
          <t>VÄSTRA GÖTALANDS LÄN</t>
        </is>
      </c>
      <c r="E5800" t="inlineStr">
        <is>
          <t>TÖREBODA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22843-2021</t>
        </is>
      </c>
      <c r="B5801" s="1" t="n">
        <v>44328</v>
      </c>
      <c r="C5801" s="1" t="n">
        <v>45586</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22848-2021</t>
        </is>
      </c>
      <c r="B5802" s="1" t="n">
        <v>44328</v>
      </c>
      <c r="C5802" s="1" t="n">
        <v>45586</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22831-2021</t>
        </is>
      </c>
      <c r="B5803" s="1" t="n">
        <v>44328</v>
      </c>
      <c r="C5803" s="1" t="n">
        <v>45586</v>
      </c>
      <c r="D5803" t="inlineStr">
        <is>
          <t>VÄSTRA GÖTALANDS LÄN</t>
        </is>
      </c>
      <c r="E5803" t="inlineStr">
        <is>
          <t>TÖREBODA</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23074-2021</t>
        </is>
      </c>
      <c r="B5804" s="1" t="n">
        <v>44330</v>
      </c>
      <c r="C5804" s="1" t="n">
        <v>45586</v>
      </c>
      <c r="D5804" t="inlineStr">
        <is>
          <t>VÄSTRA GÖTALANDS LÄN</t>
        </is>
      </c>
      <c r="E5804" t="inlineStr">
        <is>
          <t>BORÅS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23117-2021</t>
        </is>
      </c>
      <c r="B5805" s="1" t="n">
        <v>44330</v>
      </c>
      <c r="C5805" s="1" t="n">
        <v>45586</v>
      </c>
      <c r="D5805" t="inlineStr">
        <is>
          <t>VÄSTRA GÖTALANDS LÄN</t>
        </is>
      </c>
      <c r="E5805" t="inlineStr">
        <is>
          <t>FÄRGELANDA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23095-2021</t>
        </is>
      </c>
      <c r="B5806" s="1" t="n">
        <v>44330</v>
      </c>
      <c r="C5806" s="1" t="n">
        <v>45586</v>
      </c>
      <c r="D5806" t="inlineStr">
        <is>
          <t>VÄSTRA GÖTALANDS LÄN</t>
        </is>
      </c>
      <c r="E5806" t="inlineStr">
        <is>
          <t>SVENLJUNGA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23083-2021</t>
        </is>
      </c>
      <c r="B5807" s="1" t="n">
        <v>44330</v>
      </c>
      <c r="C5807" s="1" t="n">
        <v>45586</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23164-2021</t>
        </is>
      </c>
      <c r="B5808" s="1" t="n">
        <v>44332</v>
      </c>
      <c r="C5808" s="1" t="n">
        <v>45586</v>
      </c>
      <c r="D5808" t="inlineStr">
        <is>
          <t>VÄSTRA GÖTALANDS LÄN</t>
        </is>
      </c>
      <c r="E5808" t="inlineStr">
        <is>
          <t>ALINGSÅS</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23230-2021</t>
        </is>
      </c>
      <c r="B5809" s="1" t="n">
        <v>44332</v>
      </c>
      <c r="C5809" s="1" t="n">
        <v>45586</v>
      </c>
      <c r="D5809" t="inlineStr">
        <is>
          <t>VÄSTRA GÖTALANDS LÄN</t>
        </is>
      </c>
      <c r="E5809" t="inlineStr">
        <is>
          <t>FALKÖPING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23273-2021</t>
        </is>
      </c>
      <c r="B5810" s="1" t="n">
        <v>44333</v>
      </c>
      <c r="C5810" s="1" t="n">
        <v>45586</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23350-2021</t>
        </is>
      </c>
      <c r="B5811" s="1" t="n">
        <v>44333</v>
      </c>
      <c r="C5811" s="1" t="n">
        <v>45586</v>
      </c>
      <c r="D5811" t="inlineStr">
        <is>
          <t>VÄSTRA GÖTALANDS LÄN</t>
        </is>
      </c>
      <c r="E5811" t="inlineStr">
        <is>
          <t>LIDKÖPING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23365-2021</t>
        </is>
      </c>
      <c r="B5812" s="1" t="n">
        <v>44333</v>
      </c>
      <c r="C5812" s="1" t="n">
        <v>45586</v>
      </c>
      <c r="D5812" t="inlineStr">
        <is>
          <t>VÄSTRA GÖTALANDS LÄN</t>
        </is>
      </c>
      <c r="E5812" t="inlineStr">
        <is>
          <t>LYSEKIL</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23443-2021</t>
        </is>
      </c>
      <c r="B5813" s="1" t="n">
        <v>44333</v>
      </c>
      <c r="C5813" s="1" t="n">
        <v>45586</v>
      </c>
      <c r="D5813" t="inlineStr">
        <is>
          <t>VÄSTRA GÖTALANDS LÄN</t>
        </is>
      </c>
      <c r="E5813" t="inlineStr">
        <is>
          <t>TANUM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23334-2021</t>
        </is>
      </c>
      <c r="B5814" s="1" t="n">
        <v>44333</v>
      </c>
      <c r="C5814" s="1" t="n">
        <v>45586</v>
      </c>
      <c r="D5814" t="inlineStr">
        <is>
          <t>VÄSTRA GÖTALANDS LÄN</t>
        </is>
      </c>
      <c r="E5814" t="inlineStr">
        <is>
          <t>ULRICEHAMN</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23176-2021</t>
        </is>
      </c>
      <c r="B5815" s="1" t="n">
        <v>44333</v>
      </c>
      <c r="C5815" s="1" t="n">
        <v>45586</v>
      </c>
      <c r="D5815" t="inlineStr">
        <is>
          <t>VÄSTRA GÖTALANDS LÄN</t>
        </is>
      </c>
      <c r="E5815" t="inlineStr">
        <is>
          <t>ULRICEHAMN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23331-2021</t>
        </is>
      </c>
      <c r="B5816" s="1" t="n">
        <v>44333</v>
      </c>
      <c r="C5816" s="1" t="n">
        <v>45586</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23349-2021</t>
        </is>
      </c>
      <c r="B5817" s="1" t="n">
        <v>44333</v>
      </c>
      <c r="C5817" s="1" t="n">
        <v>45586</v>
      </c>
      <c r="D5817" t="inlineStr">
        <is>
          <t>VÄSTRA GÖTALANDS LÄN</t>
        </is>
      </c>
      <c r="E5817" t="inlineStr">
        <is>
          <t>LIDKÖPING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23441-2021</t>
        </is>
      </c>
      <c r="B5818" s="1" t="n">
        <v>44333</v>
      </c>
      <c r="C5818" s="1" t="n">
        <v>45586</v>
      </c>
      <c r="D5818" t="inlineStr">
        <is>
          <t>VÄSTRA GÖTALANDS LÄN</t>
        </is>
      </c>
      <c r="E5818" t="inlineStr">
        <is>
          <t>VÄNERSBORG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23650-2021</t>
        </is>
      </c>
      <c r="B5819" s="1" t="n">
        <v>44334</v>
      </c>
      <c r="C5819" s="1" t="n">
        <v>45586</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23665-2021</t>
        </is>
      </c>
      <c r="B5820" s="1" t="n">
        <v>44334</v>
      </c>
      <c r="C5820" s="1" t="n">
        <v>45586</v>
      </c>
      <c r="D5820" t="inlineStr">
        <is>
          <t>VÄSTRA GÖTALANDS LÄN</t>
        </is>
      </c>
      <c r="E5820" t="inlineStr">
        <is>
          <t>GULLSPÅNG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23581-2021</t>
        </is>
      </c>
      <c r="B5821" s="1" t="n">
        <v>44334</v>
      </c>
      <c r="C5821" s="1" t="n">
        <v>45586</v>
      </c>
      <c r="D5821" t="inlineStr">
        <is>
          <t>VÄSTRA GÖTALANDS LÄN</t>
        </is>
      </c>
      <c r="E5821" t="inlineStr">
        <is>
          <t>ULRICEHAMN</t>
        </is>
      </c>
      <c r="F5821" t="inlineStr">
        <is>
          <t>Kommuner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23648-2021</t>
        </is>
      </c>
      <c r="B5822" s="1" t="n">
        <v>44334</v>
      </c>
      <c r="C5822" s="1" t="n">
        <v>45586</v>
      </c>
      <c r="D5822" t="inlineStr">
        <is>
          <t>VÄSTRA GÖTALANDS LÄN</t>
        </is>
      </c>
      <c r="E5822" t="inlineStr">
        <is>
          <t>BORÅS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23731-2021</t>
        </is>
      </c>
      <c r="B5823" s="1" t="n">
        <v>44334</v>
      </c>
      <c r="C5823" s="1" t="n">
        <v>45586</v>
      </c>
      <c r="D5823" t="inlineStr">
        <is>
          <t>VÄSTRA GÖTALANDS LÄN</t>
        </is>
      </c>
      <c r="E5823" t="inlineStr">
        <is>
          <t>FALKÖPING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23790-2021</t>
        </is>
      </c>
      <c r="B5824" s="1" t="n">
        <v>44334</v>
      </c>
      <c r="C5824" s="1" t="n">
        <v>45586</v>
      </c>
      <c r="D5824" t="inlineStr">
        <is>
          <t>VÄSTRA GÖTALANDS LÄN</t>
        </is>
      </c>
      <c r="E5824" t="inlineStr">
        <is>
          <t>TIBRO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23800-2021</t>
        </is>
      </c>
      <c r="B5825" s="1" t="n">
        <v>44334</v>
      </c>
      <c r="C5825" s="1" t="n">
        <v>45586</v>
      </c>
      <c r="D5825" t="inlineStr">
        <is>
          <t>VÄSTRA GÖTALANDS LÄN</t>
        </is>
      </c>
      <c r="E5825" t="inlineStr">
        <is>
          <t>SKARA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23827-2021</t>
        </is>
      </c>
      <c r="B5826" s="1" t="n">
        <v>44335</v>
      </c>
      <c r="C5826" s="1" t="n">
        <v>45586</v>
      </c>
      <c r="D5826" t="inlineStr">
        <is>
          <t>VÄSTRA GÖTALANDS LÄN</t>
        </is>
      </c>
      <c r="E5826" t="inlineStr">
        <is>
          <t>ALINGSÅS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23970-2021</t>
        </is>
      </c>
      <c r="B5827" s="1" t="n">
        <v>44335</v>
      </c>
      <c r="C5827" s="1" t="n">
        <v>45586</v>
      </c>
      <c r="D5827" t="inlineStr">
        <is>
          <t>VÄSTRA GÖTALANDS LÄN</t>
        </is>
      </c>
      <c r="E5827" t="inlineStr">
        <is>
          <t>MELLERUD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23974-2021</t>
        </is>
      </c>
      <c r="B5828" s="1" t="n">
        <v>44335</v>
      </c>
      <c r="C5828" s="1" t="n">
        <v>45586</v>
      </c>
      <c r="D5828" t="inlineStr">
        <is>
          <t>VÄSTRA GÖTALANDS LÄN</t>
        </is>
      </c>
      <c r="E5828" t="inlineStr">
        <is>
          <t>MELLERUD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23973-2021</t>
        </is>
      </c>
      <c r="B5829" s="1" t="n">
        <v>44335</v>
      </c>
      <c r="C5829" s="1" t="n">
        <v>45586</v>
      </c>
      <c r="D5829" t="inlineStr">
        <is>
          <t>VÄSTRA GÖTALANDS LÄN</t>
        </is>
      </c>
      <c r="E5829" t="inlineStr">
        <is>
          <t>MELLERUD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24044-2021</t>
        </is>
      </c>
      <c r="B5830" s="1" t="n">
        <v>44336</v>
      </c>
      <c r="C5830" s="1" t="n">
        <v>45586</v>
      </c>
      <c r="D5830" t="inlineStr">
        <is>
          <t>VÄSTRA GÖTALANDS LÄN</t>
        </is>
      </c>
      <c r="E5830" t="inlineStr">
        <is>
          <t>ULRICEHAMN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24144-2021</t>
        </is>
      </c>
      <c r="B5831" s="1" t="n">
        <v>44336</v>
      </c>
      <c r="C5831" s="1" t="n">
        <v>45586</v>
      </c>
      <c r="D5831" t="inlineStr">
        <is>
          <t>VÄSTRA GÖTALANDS LÄN</t>
        </is>
      </c>
      <c r="E5831" t="inlineStr">
        <is>
          <t>MARK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24283-2021</t>
        </is>
      </c>
      <c r="B5832" s="1" t="n">
        <v>44337</v>
      </c>
      <c r="C5832" s="1" t="n">
        <v>45586</v>
      </c>
      <c r="D5832" t="inlineStr">
        <is>
          <t>VÄSTRA GÖTALANDS LÄN</t>
        </is>
      </c>
      <c r="E5832" t="inlineStr">
        <is>
          <t>UDDEVALLA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24323-2021</t>
        </is>
      </c>
      <c r="B5833" s="1" t="n">
        <v>44337</v>
      </c>
      <c r="C5833" s="1" t="n">
        <v>45586</v>
      </c>
      <c r="D5833" t="inlineStr">
        <is>
          <t>VÄSTRA GÖTALANDS LÄN</t>
        </is>
      </c>
      <c r="E5833" t="inlineStr">
        <is>
          <t>TIDAHOLM</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24351-2021</t>
        </is>
      </c>
      <c r="B5834" s="1" t="n">
        <v>44337</v>
      </c>
      <c r="C5834" s="1" t="n">
        <v>45586</v>
      </c>
      <c r="D5834" t="inlineStr">
        <is>
          <t>VÄSTRA GÖTALANDS LÄN</t>
        </is>
      </c>
      <c r="E5834" t="inlineStr">
        <is>
          <t>ESSUNGA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24324-2021</t>
        </is>
      </c>
      <c r="B5835" s="1" t="n">
        <v>44337</v>
      </c>
      <c r="C5835" s="1" t="n">
        <v>45586</v>
      </c>
      <c r="D5835" t="inlineStr">
        <is>
          <t>VÄSTRA GÖTALANDS LÄN</t>
        </is>
      </c>
      <c r="E5835" t="inlineStr">
        <is>
          <t>TIDAHOLM</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24455-2021</t>
        </is>
      </c>
      <c r="B5836" s="1" t="n">
        <v>44337</v>
      </c>
      <c r="C5836" s="1" t="n">
        <v>45586</v>
      </c>
      <c r="D5836" t="inlineStr">
        <is>
          <t>VÄSTRA GÖTALANDS LÄN</t>
        </is>
      </c>
      <c r="E5836" t="inlineStr">
        <is>
          <t>SVENLJUNGA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24291-2021</t>
        </is>
      </c>
      <c r="B5837" s="1" t="n">
        <v>44337</v>
      </c>
      <c r="C5837" s="1" t="n">
        <v>45586</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24325-2021</t>
        </is>
      </c>
      <c r="B5838" s="1" t="n">
        <v>44337</v>
      </c>
      <c r="C5838" s="1" t="n">
        <v>45586</v>
      </c>
      <c r="D5838" t="inlineStr">
        <is>
          <t>VÄSTRA GÖTALANDS LÄN</t>
        </is>
      </c>
      <c r="E5838" t="inlineStr">
        <is>
          <t>TIDAHOLM</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24420-2021</t>
        </is>
      </c>
      <c r="B5839" s="1" t="n">
        <v>44337</v>
      </c>
      <c r="C5839" s="1" t="n">
        <v>45586</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24410-2021</t>
        </is>
      </c>
      <c r="B5840" s="1" t="n">
        <v>44337</v>
      </c>
      <c r="C5840" s="1" t="n">
        <v>45586</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24463-2021</t>
        </is>
      </c>
      <c r="B5841" s="1" t="n">
        <v>44337</v>
      </c>
      <c r="C5841" s="1" t="n">
        <v>45586</v>
      </c>
      <c r="D5841" t="inlineStr">
        <is>
          <t>VÄSTRA GÖTALANDS LÄN</t>
        </is>
      </c>
      <c r="E5841" t="inlineStr">
        <is>
          <t>SVENLJUNGA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24474-2021</t>
        </is>
      </c>
      <c r="B5842" s="1" t="n">
        <v>44337</v>
      </c>
      <c r="C5842" s="1" t="n">
        <v>45586</v>
      </c>
      <c r="D5842" t="inlineStr">
        <is>
          <t>VÄSTRA GÖTALANDS LÄN</t>
        </is>
      </c>
      <c r="E5842" t="inlineStr">
        <is>
          <t>SVENLJUNGA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24464-2021</t>
        </is>
      </c>
      <c r="B5843" s="1" t="n">
        <v>44337</v>
      </c>
      <c r="C5843" s="1" t="n">
        <v>45586</v>
      </c>
      <c r="D5843" t="inlineStr">
        <is>
          <t>VÄSTRA GÖTALANDS LÄN</t>
        </is>
      </c>
      <c r="E5843" t="inlineStr">
        <is>
          <t>SVENLJUNGA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24528-2021</t>
        </is>
      </c>
      <c r="B5844" s="1" t="n">
        <v>44338</v>
      </c>
      <c r="C5844" s="1" t="n">
        <v>45586</v>
      </c>
      <c r="D5844" t="inlineStr">
        <is>
          <t>VÄSTRA GÖTALANDS LÄN</t>
        </is>
      </c>
      <c r="E5844" t="inlineStr">
        <is>
          <t>FÄRGELANDA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24641-2021</t>
        </is>
      </c>
      <c r="B5845" s="1" t="n">
        <v>44340</v>
      </c>
      <c r="C5845" s="1" t="n">
        <v>45586</v>
      </c>
      <c r="D5845" t="inlineStr">
        <is>
          <t>VÄSTRA GÖTALANDS LÄN</t>
        </is>
      </c>
      <c r="E5845" t="inlineStr">
        <is>
          <t>BENGTSFORS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24763-2021</t>
        </is>
      </c>
      <c r="B5846" s="1" t="n">
        <v>44340</v>
      </c>
      <c r="C5846" s="1" t="n">
        <v>45586</v>
      </c>
      <c r="D5846" t="inlineStr">
        <is>
          <t>VÄSTRA GÖTALANDS LÄN</t>
        </is>
      </c>
      <c r="E5846" t="inlineStr">
        <is>
          <t>BENGTSFORS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24787-2021</t>
        </is>
      </c>
      <c r="B5847" s="1" t="n">
        <v>44340</v>
      </c>
      <c r="C5847" s="1" t="n">
        <v>45586</v>
      </c>
      <c r="D5847" t="inlineStr">
        <is>
          <t>VÄSTRA GÖTALANDS LÄN</t>
        </is>
      </c>
      <c r="E5847" t="inlineStr">
        <is>
          <t>MARK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24603-2021</t>
        </is>
      </c>
      <c r="B5848" s="1" t="n">
        <v>44340</v>
      </c>
      <c r="C5848" s="1" t="n">
        <v>45586</v>
      </c>
      <c r="D5848" t="inlineStr">
        <is>
          <t>VÄSTRA GÖTALANDS LÄN</t>
        </is>
      </c>
      <c r="E5848" t="inlineStr">
        <is>
          <t>MARIESTAD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24667-2021</t>
        </is>
      </c>
      <c r="B5849" s="1" t="n">
        <v>44340</v>
      </c>
      <c r="C5849" s="1" t="n">
        <v>45586</v>
      </c>
      <c r="D5849" t="inlineStr">
        <is>
          <t>VÄSTRA GÖTALANDS LÄN</t>
        </is>
      </c>
      <c r="E5849" t="inlineStr">
        <is>
          <t>ÅMÅL</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24609-2021</t>
        </is>
      </c>
      <c r="B5850" s="1" t="n">
        <v>44340</v>
      </c>
      <c r="C5850" s="1" t="n">
        <v>45586</v>
      </c>
      <c r="D5850" t="inlineStr">
        <is>
          <t>VÄSTRA GÖTALANDS LÄN</t>
        </is>
      </c>
      <c r="E5850" t="inlineStr">
        <is>
          <t>BENGTSFORS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24595-2021</t>
        </is>
      </c>
      <c r="B5851" s="1" t="n">
        <v>44340</v>
      </c>
      <c r="C5851" s="1" t="n">
        <v>45586</v>
      </c>
      <c r="D5851" t="inlineStr">
        <is>
          <t>VÄSTRA GÖTALANDS LÄN</t>
        </is>
      </c>
      <c r="E5851" t="inlineStr">
        <is>
          <t>BENGTSFORS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24743-2021</t>
        </is>
      </c>
      <c r="B5852" s="1" t="n">
        <v>44340</v>
      </c>
      <c r="C5852" s="1" t="n">
        <v>45586</v>
      </c>
      <c r="D5852" t="inlineStr">
        <is>
          <t>VÄSTRA GÖTALANDS LÄN</t>
        </is>
      </c>
      <c r="E5852" t="inlineStr">
        <is>
          <t>BORÅS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24703-2021</t>
        </is>
      </c>
      <c r="B5853" s="1" t="n">
        <v>44340</v>
      </c>
      <c r="C5853" s="1" t="n">
        <v>45586</v>
      </c>
      <c r="D5853" t="inlineStr">
        <is>
          <t>VÄSTRA GÖTALANDS LÄN</t>
        </is>
      </c>
      <c r="E5853" t="inlineStr">
        <is>
          <t>TRANEMO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24756-2021</t>
        </is>
      </c>
      <c r="B5854" s="1" t="n">
        <v>44340</v>
      </c>
      <c r="C5854" s="1" t="n">
        <v>45586</v>
      </c>
      <c r="D5854" t="inlineStr">
        <is>
          <t>VÄSTRA GÖTALANDS LÄN</t>
        </is>
      </c>
      <c r="E5854" t="inlineStr">
        <is>
          <t>TROLLHÄTTAN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24867-2021</t>
        </is>
      </c>
      <c r="B5855" s="1" t="n">
        <v>44341</v>
      </c>
      <c r="C5855" s="1" t="n">
        <v>45586</v>
      </c>
      <c r="D5855" t="inlineStr">
        <is>
          <t>VÄSTRA GÖTALANDS LÄN</t>
        </is>
      </c>
      <c r="E5855" t="inlineStr">
        <is>
          <t>ESSUNGA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24903-2021</t>
        </is>
      </c>
      <c r="B5856" s="1" t="n">
        <v>44341</v>
      </c>
      <c r="C5856" s="1" t="n">
        <v>45586</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24952-2021</t>
        </is>
      </c>
      <c r="B5857" s="1" t="n">
        <v>44341</v>
      </c>
      <c r="C5857" s="1" t="n">
        <v>45586</v>
      </c>
      <c r="D5857" t="inlineStr">
        <is>
          <t>VÄSTRA GÖTALANDS LÄN</t>
        </is>
      </c>
      <c r="E5857" t="inlineStr">
        <is>
          <t>LIDKÖPING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25063-2021</t>
        </is>
      </c>
      <c r="B5858" s="1" t="n">
        <v>44341</v>
      </c>
      <c r="C5858" s="1" t="n">
        <v>45586</v>
      </c>
      <c r="D5858" t="inlineStr">
        <is>
          <t>VÄSTRA GÖTALANDS LÄN</t>
        </is>
      </c>
      <c r="E5858" t="inlineStr">
        <is>
          <t>GULLSPÅNG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24913-2021</t>
        </is>
      </c>
      <c r="B5859" s="1" t="n">
        <v>44341</v>
      </c>
      <c r="C5859" s="1" t="n">
        <v>45586</v>
      </c>
      <c r="D5859" t="inlineStr">
        <is>
          <t>VÄSTRA GÖTALANDS LÄN</t>
        </is>
      </c>
      <c r="E5859" t="inlineStr">
        <is>
          <t>LIDKÖPING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24936-2021</t>
        </is>
      </c>
      <c r="B5860" s="1" t="n">
        <v>44341</v>
      </c>
      <c r="C5860" s="1" t="n">
        <v>45586</v>
      </c>
      <c r="D5860" t="inlineStr">
        <is>
          <t>VÄSTRA GÖTALANDS LÄN</t>
        </is>
      </c>
      <c r="E5860" t="inlineStr">
        <is>
          <t>FÄRGELANDA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24984-2021</t>
        </is>
      </c>
      <c r="B5861" s="1" t="n">
        <v>44341</v>
      </c>
      <c r="C5861" s="1" t="n">
        <v>45586</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25066-2021</t>
        </is>
      </c>
      <c r="B5862" s="1" t="n">
        <v>44341</v>
      </c>
      <c r="C5862" s="1" t="n">
        <v>45586</v>
      </c>
      <c r="D5862" t="inlineStr">
        <is>
          <t>VÄSTRA GÖTALANDS LÄN</t>
        </is>
      </c>
      <c r="E5862" t="inlineStr">
        <is>
          <t>GULLSPÅNG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24914-2021</t>
        </is>
      </c>
      <c r="B5863" s="1" t="n">
        <v>44341</v>
      </c>
      <c r="C5863" s="1" t="n">
        <v>45586</v>
      </c>
      <c r="D5863" t="inlineStr">
        <is>
          <t>VÄSTRA GÖTALANDS LÄN</t>
        </is>
      </c>
      <c r="E5863" t="inlineStr">
        <is>
          <t>BENGTSFORS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25138-2021</t>
        </is>
      </c>
      <c r="B5864" s="1" t="n">
        <v>44341</v>
      </c>
      <c r="C5864" s="1" t="n">
        <v>45586</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25104-2021</t>
        </is>
      </c>
      <c r="B5865" s="1" t="n">
        <v>44341</v>
      </c>
      <c r="C5865" s="1" t="n">
        <v>45586</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25222-2021</t>
        </is>
      </c>
      <c r="B5866" s="1" t="n">
        <v>44342</v>
      </c>
      <c r="C5866" s="1" t="n">
        <v>45586</v>
      </c>
      <c r="D5866" t="inlineStr">
        <is>
          <t>VÄSTRA GÖTALANDS LÄN</t>
        </is>
      </c>
      <c r="E5866" t="inlineStr">
        <is>
          <t>HÄRRYDA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25316-2021</t>
        </is>
      </c>
      <c r="B5867" s="1" t="n">
        <v>44342</v>
      </c>
      <c r="C5867" s="1" t="n">
        <v>45586</v>
      </c>
      <c r="D5867" t="inlineStr">
        <is>
          <t>VÄSTRA GÖTALANDS LÄN</t>
        </is>
      </c>
      <c r="E5867" t="inlineStr">
        <is>
          <t>HJO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25338-2021</t>
        </is>
      </c>
      <c r="B5868" s="1" t="n">
        <v>44342</v>
      </c>
      <c r="C5868" s="1" t="n">
        <v>45586</v>
      </c>
      <c r="D5868" t="inlineStr">
        <is>
          <t>VÄSTRA GÖTALANDS LÄN</t>
        </is>
      </c>
      <c r="E5868" t="inlineStr">
        <is>
          <t>BORÅS</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25233-2021</t>
        </is>
      </c>
      <c r="B5869" s="1" t="n">
        <v>44342</v>
      </c>
      <c r="C5869" s="1" t="n">
        <v>45586</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25347-2021</t>
        </is>
      </c>
      <c r="B5870" s="1" t="n">
        <v>44342</v>
      </c>
      <c r="C5870" s="1" t="n">
        <v>45586</v>
      </c>
      <c r="D5870" t="inlineStr">
        <is>
          <t>VÄSTRA GÖTALANDS LÄN</t>
        </is>
      </c>
      <c r="E5870" t="inlineStr">
        <is>
          <t>BORÅS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25552-2021</t>
        </is>
      </c>
      <c r="B5871" s="1" t="n">
        <v>44342</v>
      </c>
      <c r="C5871" s="1" t="n">
        <v>45586</v>
      </c>
      <c r="D5871" t="inlineStr">
        <is>
          <t>VÄSTRA GÖTALANDS LÄN</t>
        </is>
      </c>
      <c r="E5871" t="inlineStr">
        <is>
          <t>VARA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25413-2021</t>
        </is>
      </c>
      <c r="B5872" s="1" t="n">
        <v>44342</v>
      </c>
      <c r="C5872" s="1" t="n">
        <v>45586</v>
      </c>
      <c r="D5872" t="inlineStr">
        <is>
          <t>VÄSTRA GÖTALANDS LÄN</t>
        </is>
      </c>
      <c r="E5872" t="inlineStr">
        <is>
          <t>TROLLHÄTTAN</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25422-2021</t>
        </is>
      </c>
      <c r="B5873" s="1" t="n">
        <v>44342</v>
      </c>
      <c r="C5873" s="1" t="n">
        <v>45586</v>
      </c>
      <c r="D5873" t="inlineStr">
        <is>
          <t>VÄSTRA GÖTALANDS LÄN</t>
        </is>
      </c>
      <c r="E5873" t="inlineStr">
        <is>
          <t>TROLLHÄTTAN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25427-2021</t>
        </is>
      </c>
      <c r="B5874" s="1" t="n">
        <v>44342</v>
      </c>
      <c r="C5874" s="1" t="n">
        <v>45586</v>
      </c>
      <c r="D5874" t="inlineStr">
        <is>
          <t>VÄSTRA GÖTALANDS LÄN</t>
        </is>
      </c>
      <c r="E5874" t="inlineStr">
        <is>
          <t>TROLLHÄTTAN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25432-2021</t>
        </is>
      </c>
      <c r="B5875" s="1" t="n">
        <v>44342</v>
      </c>
      <c r="C5875" s="1" t="n">
        <v>45586</v>
      </c>
      <c r="D5875" t="inlineStr">
        <is>
          <t>VÄSTRA GÖTALANDS LÄN</t>
        </is>
      </c>
      <c r="E5875" t="inlineStr">
        <is>
          <t>GULLSPÅNG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25267-2021</t>
        </is>
      </c>
      <c r="B5876" s="1" t="n">
        <v>44342</v>
      </c>
      <c r="C5876" s="1" t="n">
        <v>45586</v>
      </c>
      <c r="D5876" t="inlineStr">
        <is>
          <t>VÄSTRA GÖTALANDS LÄN</t>
        </is>
      </c>
      <c r="E5876" t="inlineStr">
        <is>
          <t>HÄRRYDA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25481-2021</t>
        </is>
      </c>
      <c r="B5877" s="1" t="n">
        <v>44342</v>
      </c>
      <c r="C5877" s="1" t="n">
        <v>45586</v>
      </c>
      <c r="D5877" t="inlineStr">
        <is>
          <t>VÄSTRA GÖTALANDS LÄN</t>
        </is>
      </c>
      <c r="E5877" t="inlineStr">
        <is>
          <t>MARK</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25428-2021</t>
        </is>
      </c>
      <c r="B5878" s="1" t="n">
        <v>44342</v>
      </c>
      <c r="C5878" s="1" t="n">
        <v>45586</v>
      </c>
      <c r="D5878" t="inlineStr">
        <is>
          <t>VÄSTRA GÖTALANDS LÄN</t>
        </is>
      </c>
      <c r="E5878" t="inlineStr">
        <is>
          <t>GULLSPÅNG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25632-2021</t>
        </is>
      </c>
      <c r="B5879" s="1" t="n">
        <v>44343</v>
      </c>
      <c r="C5879" s="1" t="n">
        <v>45586</v>
      </c>
      <c r="D5879" t="inlineStr">
        <is>
          <t>VÄSTRA GÖTALANDS LÄN</t>
        </is>
      </c>
      <c r="E5879" t="inlineStr">
        <is>
          <t>ALE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25714-2021</t>
        </is>
      </c>
      <c r="B5880" s="1" t="n">
        <v>44343</v>
      </c>
      <c r="C5880" s="1" t="n">
        <v>45586</v>
      </c>
      <c r="D5880" t="inlineStr">
        <is>
          <t>VÄSTRA GÖTALANDS LÄN</t>
        </is>
      </c>
      <c r="E5880" t="inlineStr">
        <is>
          <t>BENGTSFORS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25545-2021</t>
        </is>
      </c>
      <c r="B5881" s="1" t="n">
        <v>44343</v>
      </c>
      <c r="C5881" s="1" t="n">
        <v>45586</v>
      </c>
      <c r="D5881" t="inlineStr">
        <is>
          <t>VÄSTRA GÖTALANDS LÄN</t>
        </is>
      </c>
      <c r="E5881" t="inlineStr">
        <is>
          <t>STRÖMSTAD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25631-2021</t>
        </is>
      </c>
      <c r="B5882" s="1" t="n">
        <v>44343</v>
      </c>
      <c r="C5882" s="1" t="n">
        <v>45586</v>
      </c>
      <c r="D5882" t="inlineStr">
        <is>
          <t>VÄSTRA GÖTALANDS LÄN</t>
        </is>
      </c>
      <c r="E5882" t="inlineStr">
        <is>
          <t>LILLA EDET</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25711-2021</t>
        </is>
      </c>
      <c r="B5883" s="1" t="n">
        <v>44343</v>
      </c>
      <c r="C5883" s="1" t="n">
        <v>45586</v>
      </c>
      <c r="D5883" t="inlineStr">
        <is>
          <t>VÄSTRA GÖTALANDS LÄN</t>
        </is>
      </c>
      <c r="E5883" t="inlineStr">
        <is>
          <t>SVENLJUNGA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25733-2021</t>
        </is>
      </c>
      <c r="B5884" s="1" t="n">
        <v>44343</v>
      </c>
      <c r="C5884" s="1" t="n">
        <v>45586</v>
      </c>
      <c r="D5884" t="inlineStr">
        <is>
          <t>VÄSTRA GÖTALANDS LÄN</t>
        </is>
      </c>
      <c r="E5884" t="inlineStr">
        <is>
          <t>TÖREBODA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25751-2021</t>
        </is>
      </c>
      <c r="B5885" s="1" t="n">
        <v>44343</v>
      </c>
      <c r="C5885" s="1" t="n">
        <v>45586</v>
      </c>
      <c r="D5885" t="inlineStr">
        <is>
          <t>VÄSTRA GÖTALANDS LÄN</t>
        </is>
      </c>
      <c r="E5885" t="inlineStr">
        <is>
          <t>MELLERUD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25657-2021</t>
        </is>
      </c>
      <c r="B5886" s="1" t="n">
        <v>44343</v>
      </c>
      <c r="C5886" s="1" t="n">
        <v>45586</v>
      </c>
      <c r="D5886" t="inlineStr">
        <is>
          <t>VÄSTRA GÖTALANDS LÄN</t>
        </is>
      </c>
      <c r="E5886" t="inlineStr">
        <is>
          <t>LYSEKIL</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25707-2021</t>
        </is>
      </c>
      <c r="B5887" s="1" t="n">
        <v>44343</v>
      </c>
      <c r="C5887" s="1" t="n">
        <v>45586</v>
      </c>
      <c r="D5887" t="inlineStr">
        <is>
          <t>VÄSTRA GÖTALANDS LÄN</t>
        </is>
      </c>
      <c r="E5887" t="inlineStr">
        <is>
          <t>SVENLJUNGA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25727-2021</t>
        </is>
      </c>
      <c r="B5888" s="1" t="n">
        <v>44343</v>
      </c>
      <c r="C5888" s="1" t="n">
        <v>45586</v>
      </c>
      <c r="D5888" t="inlineStr">
        <is>
          <t>VÄSTRA GÖTALANDS LÄN</t>
        </is>
      </c>
      <c r="E5888" t="inlineStr">
        <is>
          <t>SVENLJUNGA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25590-2021</t>
        </is>
      </c>
      <c r="B5889" s="1" t="n">
        <v>44343</v>
      </c>
      <c r="C5889" s="1" t="n">
        <v>45586</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25629-2021</t>
        </is>
      </c>
      <c r="B5890" s="1" t="n">
        <v>44343</v>
      </c>
      <c r="C5890" s="1" t="n">
        <v>45586</v>
      </c>
      <c r="D5890" t="inlineStr">
        <is>
          <t>VÄSTRA GÖTALANDS LÄN</t>
        </is>
      </c>
      <c r="E5890" t="inlineStr">
        <is>
          <t>TIDAHOLM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25790-2021</t>
        </is>
      </c>
      <c r="B5891" s="1" t="n">
        <v>44343</v>
      </c>
      <c r="C5891" s="1" t="n">
        <v>45586</v>
      </c>
      <c r="D5891" t="inlineStr">
        <is>
          <t>VÄSTRA GÖTALANDS LÄN</t>
        </is>
      </c>
      <c r="E5891" t="inlineStr">
        <is>
          <t>STRÖMSTAD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25782-2021</t>
        </is>
      </c>
      <c r="B5892" s="1" t="n">
        <v>44343</v>
      </c>
      <c r="C5892" s="1" t="n">
        <v>45586</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25795-2021</t>
        </is>
      </c>
      <c r="B5893" s="1" t="n">
        <v>44343</v>
      </c>
      <c r="C5893" s="1" t="n">
        <v>45586</v>
      </c>
      <c r="D5893" t="inlineStr">
        <is>
          <t>VÄSTRA GÖTALANDS LÄN</t>
        </is>
      </c>
      <c r="E5893" t="inlineStr">
        <is>
          <t>STRÖMSTAD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25863-2021</t>
        </is>
      </c>
      <c r="B5894" s="1" t="n">
        <v>44343</v>
      </c>
      <c r="C5894" s="1" t="n">
        <v>45586</v>
      </c>
      <c r="D5894" t="inlineStr">
        <is>
          <t>VÄSTRA GÖTALANDS LÄN</t>
        </is>
      </c>
      <c r="E5894" t="inlineStr">
        <is>
          <t>VARA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25738-2021</t>
        </is>
      </c>
      <c r="B5895" s="1" t="n">
        <v>44343</v>
      </c>
      <c r="C5895" s="1" t="n">
        <v>45586</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25892-2021</t>
        </is>
      </c>
      <c r="B5896" s="1" t="n">
        <v>44344</v>
      </c>
      <c r="C5896" s="1" t="n">
        <v>45586</v>
      </c>
      <c r="D5896" t="inlineStr">
        <is>
          <t>VÄSTRA GÖTALANDS LÄN</t>
        </is>
      </c>
      <c r="E5896" t="inlineStr">
        <is>
          <t>UDDEVALLA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25901-2021</t>
        </is>
      </c>
      <c r="B5897" s="1" t="n">
        <v>44344</v>
      </c>
      <c r="C5897" s="1" t="n">
        <v>45586</v>
      </c>
      <c r="D5897" t="inlineStr">
        <is>
          <t>VÄSTRA GÖTALANDS LÄN</t>
        </is>
      </c>
      <c r="E5897" t="inlineStr">
        <is>
          <t>UDDEVALLA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25929-2021</t>
        </is>
      </c>
      <c r="B5898" s="1" t="n">
        <v>44344</v>
      </c>
      <c r="C5898" s="1" t="n">
        <v>45586</v>
      </c>
      <c r="D5898" t="inlineStr">
        <is>
          <t>VÄSTRA GÖTALANDS LÄN</t>
        </is>
      </c>
      <c r="E5898" t="inlineStr">
        <is>
          <t>SVENLJUNGA</t>
        </is>
      </c>
      <c r="F5898" t="inlineStr">
        <is>
          <t>Sveaskog</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25967-2021</t>
        </is>
      </c>
      <c r="B5899" s="1" t="n">
        <v>44344</v>
      </c>
      <c r="C5899" s="1" t="n">
        <v>45586</v>
      </c>
      <c r="D5899" t="inlineStr">
        <is>
          <t>VÄSTRA GÖTALANDS LÄN</t>
        </is>
      </c>
      <c r="E5899" t="inlineStr">
        <is>
          <t>HÄRRYDA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45586</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25969-2021</t>
        </is>
      </c>
      <c r="B5901" s="1" t="n">
        <v>44344</v>
      </c>
      <c r="C5901" s="1" t="n">
        <v>45586</v>
      </c>
      <c r="D5901" t="inlineStr">
        <is>
          <t>VÄSTRA GÖTALANDS LÄN</t>
        </is>
      </c>
      <c r="E5901" t="inlineStr">
        <is>
          <t>MARIESTAD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25869-2021</t>
        </is>
      </c>
      <c r="B5902" s="1" t="n">
        <v>44344</v>
      </c>
      <c r="C5902" s="1" t="n">
        <v>45586</v>
      </c>
      <c r="D5902" t="inlineStr">
        <is>
          <t>VÄSTRA GÖTALANDS LÄN</t>
        </is>
      </c>
      <c r="E5902" t="inlineStr">
        <is>
          <t>STRÖMSTAD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25890-2021</t>
        </is>
      </c>
      <c r="B5903" s="1" t="n">
        <v>44344</v>
      </c>
      <c r="C5903" s="1" t="n">
        <v>45586</v>
      </c>
      <c r="D5903" t="inlineStr">
        <is>
          <t>VÄSTRA GÖTALANDS LÄN</t>
        </is>
      </c>
      <c r="E5903" t="inlineStr">
        <is>
          <t>SVENLJUNGA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25927-2021</t>
        </is>
      </c>
      <c r="B5904" s="1" t="n">
        <v>44344</v>
      </c>
      <c r="C5904" s="1" t="n">
        <v>45586</v>
      </c>
      <c r="D5904" t="inlineStr">
        <is>
          <t>VÄSTRA GÖTALANDS LÄN</t>
        </is>
      </c>
      <c r="E5904" t="inlineStr">
        <is>
          <t>SVENLJUNGA</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25925-2021</t>
        </is>
      </c>
      <c r="B5905" s="1" t="n">
        <v>44344</v>
      </c>
      <c r="C5905" s="1" t="n">
        <v>45586</v>
      </c>
      <c r="D5905" t="inlineStr">
        <is>
          <t>VÄSTRA GÖTALANDS LÄN</t>
        </is>
      </c>
      <c r="E5905" t="inlineStr">
        <is>
          <t>SVENLJUNGA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25975-2021</t>
        </is>
      </c>
      <c r="B5906" s="1" t="n">
        <v>44344</v>
      </c>
      <c r="C5906" s="1" t="n">
        <v>45586</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26070-2021</t>
        </is>
      </c>
      <c r="B5907" s="1" t="n">
        <v>44344</v>
      </c>
      <c r="C5907" s="1" t="n">
        <v>45586</v>
      </c>
      <c r="D5907" t="inlineStr">
        <is>
          <t>VÄSTRA GÖTALANDS LÄN</t>
        </is>
      </c>
      <c r="E5907" t="inlineStr">
        <is>
          <t>TANUM</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26169-2021</t>
        </is>
      </c>
      <c r="B5908" s="1" t="n">
        <v>44347</v>
      </c>
      <c r="C5908" s="1" t="n">
        <v>45586</v>
      </c>
      <c r="D5908" t="inlineStr">
        <is>
          <t>VÄSTRA GÖTALANDS LÄN</t>
        </is>
      </c>
      <c r="E5908" t="inlineStr">
        <is>
          <t>VÅRGÅRDA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26159-2021</t>
        </is>
      </c>
      <c r="B5909" s="1" t="n">
        <v>44347</v>
      </c>
      <c r="C5909" s="1" t="n">
        <v>45586</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26208-2021</t>
        </is>
      </c>
      <c r="B5910" s="1" t="n">
        <v>44347</v>
      </c>
      <c r="C5910" s="1" t="n">
        <v>45586</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26467-2021</t>
        </is>
      </c>
      <c r="B5911" s="1" t="n">
        <v>44348</v>
      </c>
      <c r="C5911" s="1" t="n">
        <v>45586</v>
      </c>
      <c r="D5911" t="inlineStr">
        <is>
          <t>VÄSTRA GÖTALANDS LÄN</t>
        </is>
      </c>
      <c r="E5911" t="inlineStr">
        <is>
          <t>KARLSBORG</t>
        </is>
      </c>
      <c r="F5911" t="inlineStr">
        <is>
          <t>Kommuner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26623-2021</t>
        </is>
      </c>
      <c r="B5912" s="1" t="n">
        <v>44348</v>
      </c>
      <c r="C5912" s="1" t="n">
        <v>45586</v>
      </c>
      <c r="D5912" t="inlineStr">
        <is>
          <t>VÄSTRA GÖTALANDS LÄN</t>
        </is>
      </c>
      <c r="E5912" t="inlineStr">
        <is>
          <t>ESSUNGA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26631-2021</t>
        </is>
      </c>
      <c r="B5913" s="1" t="n">
        <v>44348</v>
      </c>
      <c r="C5913" s="1" t="n">
        <v>45586</v>
      </c>
      <c r="D5913" t="inlineStr">
        <is>
          <t>VÄSTRA GÖTALANDS LÄN</t>
        </is>
      </c>
      <c r="E5913" t="inlineStr">
        <is>
          <t>VARA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26439-2021</t>
        </is>
      </c>
      <c r="B5914" s="1" t="n">
        <v>44348</v>
      </c>
      <c r="C5914" s="1" t="n">
        <v>45586</v>
      </c>
      <c r="D5914" t="inlineStr">
        <is>
          <t>VÄSTRA GÖTALANDS LÄN</t>
        </is>
      </c>
      <c r="E5914" t="inlineStr">
        <is>
          <t>BENGTSFORS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26592-2021</t>
        </is>
      </c>
      <c r="B5915" s="1" t="n">
        <v>44348</v>
      </c>
      <c r="C5915" s="1" t="n">
        <v>45586</v>
      </c>
      <c r="D5915" t="inlineStr">
        <is>
          <t>VÄSTRA GÖTALANDS LÄN</t>
        </is>
      </c>
      <c r="E5915" t="inlineStr">
        <is>
          <t>TRANEMO</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26600-2021</t>
        </is>
      </c>
      <c r="B5916" s="1" t="n">
        <v>44348</v>
      </c>
      <c r="C5916" s="1" t="n">
        <v>45586</v>
      </c>
      <c r="D5916" t="inlineStr">
        <is>
          <t>VÄSTRA GÖTALANDS LÄN</t>
        </is>
      </c>
      <c r="E5916" t="inlineStr">
        <is>
          <t>MARK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26625-2021</t>
        </is>
      </c>
      <c r="B5917" s="1" t="n">
        <v>44348</v>
      </c>
      <c r="C5917" s="1" t="n">
        <v>45586</v>
      </c>
      <c r="D5917" t="inlineStr">
        <is>
          <t>VÄSTRA GÖTALANDS LÄN</t>
        </is>
      </c>
      <c r="E5917" t="inlineStr">
        <is>
          <t>FALKÖPING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26593-2021</t>
        </is>
      </c>
      <c r="B5918" s="1" t="n">
        <v>44348</v>
      </c>
      <c r="C5918" s="1" t="n">
        <v>45586</v>
      </c>
      <c r="D5918" t="inlineStr">
        <is>
          <t>VÄSTRA GÖTALANDS LÄN</t>
        </is>
      </c>
      <c r="E5918" t="inlineStr">
        <is>
          <t>TRANEMO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26606-2021</t>
        </is>
      </c>
      <c r="B5919" s="1" t="n">
        <v>44348</v>
      </c>
      <c r="C5919" s="1" t="n">
        <v>45586</v>
      </c>
      <c r="D5919" t="inlineStr">
        <is>
          <t>VÄSTRA GÖTALANDS LÄN</t>
        </is>
      </c>
      <c r="E5919" t="inlineStr">
        <is>
          <t>MARK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26628-2021</t>
        </is>
      </c>
      <c r="B5920" s="1" t="n">
        <v>44348</v>
      </c>
      <c r="C5920" s="1" t="n">
        <v>45586</v>
      </c>
      <c r="D5920" t="inlineStr">
        <is>
          <t>VÄSTRA GÖTALANDS LÄN</t>
        </is>
      </c>
      <c r="E5920" t="inlineStr">
        <is>
          <t>TROLLHÄTTAN</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26636-2021</t>
        </is>
      </c>
      <c r="B5921" s="1" t="n">
        <v>44348</v>
      </c>
      <c r="C5921" s="1" t="n">
        <v>45586</v>
      </c>
      <c r="D5921" t="inlineStr">
        <is>
          <t>VÄSTRA GÖTALANDS LÄN</t>
        </is>
      </c>
      <c r="E5921" t="inlineStr">
        <is>
          <t>ALINGSÅS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26746-2021</t>
        </is>
      </c>
      <c r="B5922" s="1" t="n">
        <v>44349</v>
      </c>
      <c r="C5922" s="1" t="n">
        <v>45586</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26830-2021</t>
        </is>
      </c>
      <c r="B5923" s="1" t="n">
        <v>44349</v>
      </c>
      <c r="C5923" s="1" t="n">
        <v>45586</v>
      </c>
      <c r="D5923" t="inlineStr">
        <is>
          <t>VÄSTRA GÖTALANDS LÄN</t>
        </is>
      </c>
      <c r="E5923" t="inlineStr">
        <is>
          <t>BENGTSFORS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26834-2021</t>
        </is>
      </c>
      <c r="B5924" s="1" t="n">
        <v>44349</v>
      </c>
      <c r="C5924" s="1" t="n">
        <v>45586</v>
      </c>
      <c r="D5924" t="inlineStr">
        <is>
          <t>VÄSTRA GÖTALANDS LÄN</t>
        </is>
      </c>
      <c r="E5924" t="inlineStr">
        <is>
          <t>BENGTSFORS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26787-2021</t>
        </is>
      </c>
      <c r="B5925" s="1" t="n">
        <v>44349</v>
      </c>
      <c r="C5925" s="1" t="n">
        <v>45586</v>
      </c>
      <c r="D5925" t="inlineStr">
        <is>
          <t>VÄSTRA GÖTALANDS LÄN</t>
        </is>
      </c>
      <c r="E5925" t="inlineStr">
        <is>
          <t>DALS-ED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26740-2021</t>
        </is>
      </c>
      <c r="B5926" s="1" t="n">
        <v>44349</v>
      </c>
      <c r="C5926" s="1" t="n">
        <v>45586</v>
      </c>
      <c r="D5926" t="inlineStr">
        <is>
          <t>VÄSTRA GÖTALANDS LÄN</t>
        </is>
      </c>
      <c r="E5926" t="inlineStr">
        <is>
          <t>VÄNERSBORG</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26835-2021</t>
        </is>
      </c>
      <c r="B5927" s="1" t="n">
        <v>44349</v>
      </c>
      <c r="C5927" s="1" t="n">
        <v>45586</v>
      </c>
      <c r="D5927" t="inlineStr">
        <is>
          <t>VÄSTRA GÖTALANDS LÄN</t>
        </is>
      </c>
      <c r="E5927" t="inlineStr">
        <is>
          <t>SVENLJUNGA</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27048-2021</t>
        </is>
      </c>
      <c r="B5928" s="1" t="n">
        <v>44350</v>
      </c>
      <c r="C5928" s="1" t="n">
        <v>45586</v>
      </c>
      <c r="D5928" t="inlineStr">
        <is>
          <t>VÄSTRA GÖTALANDS LÄN</t>
        </is>
      </c>
      <c r="E5928" t="inlineStr">
        <is>
          <t>MARK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27105-2021</t>
        </is>
      </c>
      <c r="B5929" s="1" t="n">
        <v>44350</v>
      </c>
      <c r="C5929" s="1" t="n">
        <v>45586</v>
      </c>
      <c r="D5929" t="inlineStr">
        <is>
          <t>VÄSTRA GÖTALANDS LÄN</t>
        </is>
      </c>
      <c r="E5929" t="inlineStr">
        <is>
          <t>FALKÖPING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27009-2021</t>
        </is>
      </c>
      <c r="B5930" s="1" t="n">
        <v>44350</v>
      </c>
      <c r="C5930" s="1" t="n">
        <v>45586</v>
      </c>
      <c r="D5930" t="inlineStr">
        <is>
          <t>VÄSTRA GÖTALANDS LÄN</t>
        </is>
      </c>
      <c r="E5930" t="inlineStr">
        <is>
          <t>FALKÖPING</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27044-2021</t>
        </is>
      </c>
      <c r="B5931" s="1" t="n">
        <v>44350</v>
      </c>
      <c r="C5931" s="1" t="n">
        <v>45586</v>
      </c>
      <c r="D5931" t="inlineStr">
        <is>
          <t>VÄSTRA GÖTALANDS LÄN</t>
        </is>
      </c>
      <c r="E5931" t="inlineStr">
        <is>
          <t>SVENLJUNGA</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27075-2021</t>
        </is>
      </c>
      <c r="B5932" s="1" t="n">
        <v>44350</v>
      </c>
      <c r="C5932" s="1" t="n">
        <v>45586</v>
      </c>
      <c r="D5932" t="inlineStr">
        <is>
          <t>VÄSTRA GÖTALANDS LÄN</t>
        </is>
      </c>
      <c r="E5932" t="inlineStr">
        <is>
          <t>TRANEMO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27106-2021</t>
        </is>
      </c>
      <c r="B5933" s="1" t="n">
        <v>44350</v>
      </c>
      <c r="C5933" s="1" t="n">
        <v>45586</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27082-2021</t>
        </is>
      </c>
      <c r="B5934" s="1" t="n">
        <v>44350</v>
      </c>
      <c r="C5934" s="1" t="n">
        <v>45586</v>
      </c>
      <c r="D5934" t="inlineStr">
        <is>
          <t>VÄSTRA GÖTALANDS LÄN</t>
        </is>
      </c>
      <c r="E5934" t="inlineStr">
        <is>
          <t>BENGTSFORS</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27267-2021</t>
        </is>
      </c>
      <c r="B5935" s="1" t="n">
        <v>44351</v>
      </c>
      <c r="C5935" s="1" t="n">
        <v>45586</v>
      </c>
      <c r="D5935" t="inlineStr">
        <is>
          <t>VÄSTRA GÖTALANDS LÄN</t>
        </is>
      </c>
      <c r="E5935" t="inlineStr">
        <is>
          <t>BORÅS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27497-2021</t>
        </is>
      </c>
      <c r="B5936" s="1" t="n">
        <v>44351</v>
      </c>
      <c r="C5936" s="1" t="n">
        <v>45586</v>
      </c>
      <c r="D5936" t="inlineStr">
        <is>
          <t>VÄSTRA GÖTALANDS LÄN</t>
        </is>
      </c>
      <c r="E5936" t="inlineStr">
        <is>
          <t>UDDEVALLA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27286-2021</t>
        </is>
      </c>
      <c r="B5937" s="1" t="n">
        <v>44351</v>
      </c>
      <c r="C5937" s="1" t="n">
        <v>45586</v>
      </c>
      <c r="D5937" t="inlineStr">
        <is>
          <t>VÄSTRA GÖTALANDS LÄN</t>
        </is>
      </c>
      <c r="E5937" t="inlineStr">
        <is>
          <t>TIBRO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27289-2021</t>
        </is>
      </c>
      <c r="B5938" s="1" t="n">
        <v>44351</v>
      </c>
      <c r="C5938" s="1" t="n">
        <v>45586</v>
      </c>
      <c r="D5938" t="inlineStr">
        <is>
          <t>VÄSTRA GÖTALANDS LÄN</t>
        </is>
      </c>
      <c r="E5938" t="inlineStr">
        <is>
          <t>TIBRO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27314-2021</t>
        </is>
      </c>
      <c r="B5939" s="1" t="n">
        <v>44351</v>
      </c>
      <c r="C5939" s="1" t="n">
        <v>45586</v>
      </c>
      <c r="D5939" t="inlineStr">
        <is>
          <t>VÄSTRA GÖTALANDS LÄN</t>
        </is>
      </c>
      <c r="E5939" t="inlineStr">
        <is>
          <t>ALE</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27369-2021</t>
        </is>
      </c>
      <c r="B5940" s="1" t="n">
        <v>44351</v>
      </c>
      <c r="C5940" s="1" t="n">
        <v>45586</v>
      </c>
      <c r="D5940" t="inlineStr">
        <is>
          <t>VÄSTRA GÖTALANDS LÄN</t>
        </is>
      </c>
      <c r="E5940" t="inlineStr">
        <is>
          <t>MARIESTAD</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27458-2021</t>
        </is>
      </c>
      <c r="B5941" s="1" t="n">
        <v>44351</v>
      </c>
      <c r="C5941" s="1" t="n">
        <v>45586</v>
      </c>
      <c r="D5941" t="inlineStr">
        <is>
          <t>VÄSTRA GÖTALANDS LÄN</t>
        </is>
      </c>
      <c r="E5941" t="inlineStr">
        <is>
          <t>BORÅS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27387-2021</t>
        </is>
      </c>
      <c r="B5942" s="1" t="n">
        <v>44351</v>
      </c>
      <c r="C5942" s="1" t="n">
        <v>45586</v>
      </c>
      <c r="D5942" t="inlineStr">
        <is>
          <t>VÄSTRA GÖTALANDS LÄN</t>
        </is>
      </c>
      <c r="E5942" t="inlineStr">
        <is>
          <t>MUNKEDAL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27498-2021</t>
        </is>
      </c>
      <c r="B5943" s="1" t="n">
        <v>44351</v>
      </c>
      <c r="C5943" s="1" t="n">
        <v>45586</v>
      </c>
      <c r="D5943" t="inlineStr">
        <is>
          <t>VÄSTRA GÖTALANDS LÄN</t>
        </is>
      </c>
      <c r="E5943" t="inlineStr">
        <is>
          <t>BOLLEBYGD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27507-2021</t>
        </is>
      </c>
      <c r="B5944" s="1" t="n">
        <v>44351</v>
      </c>
      <c r="C5944" s="1" t="n">
        <v>45586</v>
      </c>
      <c r="D5944" t="inlineStr">
        <is>
          <t>VÄSTRA GÖTALANDS LÄN</t>
        </is>
      </c>
      <c r="E5944" t="inlineStr">
        <is>
          <t>ULRICEHAMN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27518-2021</t>
        </is>
      </c>
      <c r="B5945" s="1" t="n">
        <v>44351</v>
      </c>
      <c r="C5945" s="1" t="n">
        <v>45586</v>
      </c>
      <c r="D5945" t="inlineStr">
        <is>
          <t>VÄSTRA GÖTALANDS LÄN</t>
        </is>
      </c>
      <c r="E5945" t="inlineStr">
        <is>
          <t>LILLA EDET</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27546-2021</t>
        </is>
      </c>
      <c r="B5946" s="1" t="n">
        <v>44351</v>
      </c>
      <c r="C5946" s="1" t="n">
        <v>45586</v>
      </c>
      <c r="D5946" t="inlineStr">
        <is>
          <t>VÄSTRA GÖTALANDS LÄN</t>
        </is>
      </c>
      <c r="E5946" t="inlineStr">
        <is>
          <t>HÄRRYDA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27468-2021</t>
        </is>
      </c>
      <c r="B5947" s="1" t="n">
        <v>44351</v>
      </c>
      <c r="C5947" s="1" t="n">
        <v>45586</v>
      </c>
      <c r="D5947" t="inlineStr">
        <is>
          <t>VÄSTRA GÖTALANDS LÄN</t>
        </is>
      </c>
      <c r="E5947" t="inlineStr">
        <is>
          <t>BENGTSFORS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27494-2021</t>
        </is>
      </c>
      <c r="B5948" s="1" t="n">
        <v>44351</v>
      </c>
      <c r="C5948" s="1" t="n">
        <v>45586</v>
      </c>
      <c r="D5948" t="inlineStr">
        <is>
          <t>VÄSTRA GÖTALANDS LÄN</t>
        </is>
      </c>
      <c r="E5948" t="inlineStr">
        <is>
          <t>UDDEVALLA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27515-2021</t>
        </is>
      </c>
      <c r="B5949" s="1" t="n">
        <v>44351</v>
      </c>
      <c r="C5949" s="1" t="n">
        <v>45586</v>
      </c>
      <c r="D5949" t="inlineStr">
        <is>
          <t>VÄSTRA GÖTALANDS LÄN</t>
        </is>
      </c>
      <c r="E5949" t="inlineStr">
        <is>
          <t>FALKÖPING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27544-2021</t>
        </is>
      </c>
      <c r="B5950" s="1" t="n">
        <v>44351</v>
      </c>
      <c r="C5950" s="1" t="n">
        <v>45586</v>
      </c>
      <c r="D5950" t="inlineStr">
        <is>
          <t>VÄSTRA GÖTALANDS LÄN</t>
        </is>
      </c>
      <c r="E5950" t="inlineStr">
        <is>
          <t>UDDEVALLA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27450-2021</t>
        </is>
      </c>
      <c r="B5951" s="1" t="n">
        <v>44351</v>
      </c>
      <c r="C5951" s="1" t="n">
        <v>45586</v>
      </c>
      <c r="D5951" t="inlineStr">
        <is>
          <t>VÄSTRA GÖTALANDS LÄN</t>
        </is>
      </c>
      <c r="E5951" t="inlineStr">
        <is>
          <t>LERUM</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27577-2021</t>
        </is>
      </c>
      <c r="B5952" s="1" t="n">
        <v>44353</v>
      </c>
      <c r="C5952" s="1" t="n">
        <v>45586</v>
      </c>
      <c r="D5952" t="inlineStr">
        <is>
          <t>VÄSTRA GÖTALANDS LÄN</t>
        </is>
      </c>
      <c r="E5952" t="inlineStr">
        <is>
          <t>SKÖVDE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27632-2021</t>
        </is>
      </c>
      <c r="B5953" s="1" t="n">
        <v>44354</v>
      </c>
      <c r="C5953" s="1" t="n">
        <v>45586</v>
      </c>
      <c r="D5953" t="inlineStr">
        <is>
          <t>VÄSTRA GÖTALANDS LÄN</t>
        </is>
      </c>
      <c r="E5953" t="inlineStr">
        <is>
          <t>MUNKEDAL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27644-2021</t>
        </is>
      </c>
      <c r="B5954" s="1" t="n">
        <v>44354</v>
      </c>
      <c r="C5954" s="1" t="n">
        <v>45586</v>
      </c>
      <c r="D5954" t="inlineStr">
        <is>
          <t>VÄSTRA GÖTALANDS LÄN</t>
        </is>
      </c>
      <c r="E5954" t="inlineStr">
        <is>
          <t>TIBRO</t>
        </is>
      </c>
      <c r="G5954" t="n">
        <v>40.8</v>
      </c>
      <c r="H5954" t="n">
        <v>0</v>
      </c>
      <c r="I5954" t="n">
        <v>0</v>
      </c>
      <c r="J5954" t="n">
        <v>0</v>
      </c>
      <c r="K5954" t="n">
        <v>0</v>
      </c>
      <c r="L5954" t="n">
        <v>0</v>
      </c>
      <c r="M5954" t="n">
        <v>0</v>
      </c>
      <c r="N5954" t="n">
        <v>0</v>
      </c>
      <c r="O5954" t="n">
        <v>0</v>
      </c>
      <c r="P5954" t="n">
        <v>0</v>
      </c>
      <c r="Q5954" t="n">
        <v>0</v>
      </c>
      <c r="R5954" s="2" t="inlineStr"/>
    </row>
    <row r="5955" ht="15" customHeight="1">
      <c r="A5955" t="inlineStr">
        <is>
          <t>A 27635-2021</t>
        </is>
      </c>
      <c r="B5955" s="1" t="n">
        <v>44354</v>
      </c>
      <c r="C5955" s="1" t="n">
        <v>45586</v>
      </c>
      <c r="D5955" t="inlineStr">
        <is>
          <t>VÄSTRA GÖTALANDS LÄN</t>
        </is>
      </c>
      <c r="E5955" t="inlineStr">
        <is>
          <t>GRÄSTORP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27722-2021</t>
        </is>
      </c>
      <c r="B5956" s="1" t="n">
        <v>44354</v>
      </c>
      <c r="C5956" s="1" t="n">
        <v>45586</v>
      </c>
      <c r="D5956" t="inlineStr">
        <is>
          <t>VÄSTRA GÖTALANDS LÄN</t>
        </is>
      </c>
      <c r="E5956" t="inlineStr">
        <is>
          <t>ULRICEHAMN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27733-2021</t>
        </is>
      </c>
      <c r="B5957" s="1" t="n">
        <v>44354</v>
      </c>
      <c r="C5957" s="1" t="n">
        <v>45586</v>
      </c>
      <c r="D5957" t="inlineStr">
        <is>
          <t>VÄSTRA GÖTALANDS LÄN</t>
        </is>
      </c>
      <c r="E5957" t="inlineStr">
        <is>
          <t>ULRICEHAMN</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27858-2021</t>
        </is>
      </c>
      <c r="B5958" s="1" t="n">
        <v>44354</v>
      </c>
      <c r="C5958" s="1" t="n">
        <v>45586</v>
      </c>
      <c r="D5958" t="inlineStr">
        <is>
          <t>VÄSTRA GÖTALANDS LÄN</t>
        </is>
      </c>
      <c r="E5958" t="inlineStr">
        <is>
          <t>MARIESTAD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27849-2021</t>
        </is>
      </c>
      <c r="B5959" s="1" t="n">
        <v>44354</v>
      </c>
      <c r="C5959" s="1" t="n">
        <v>45586</v>
      </c>
      <c r="D5959" t="inlineStr">
        <is>
          <t>VÄSTRA GÖTALANDS LÄN</t>
        </is>
      </c>
      <c r="E5959" t="inlineStr">
        <is>
          <t>HJO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27944-2021</t>
        </is>
      </c>
      <c r="B5960" s="1" t="n">
        <v>44354</v>
      </c>
      <c r="C5960" s="1" t="n">
        <v>45586</v>
      </c>
      <c r="D5960" t="inlineStr">
        <is>
          <t>VÄSTRA GÖTALANDS LÄN</t>
        </is>
      </c>
      <c r="E5960" t="inlineStr">
        <is>
          <t>BORÅS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27872-2021</t>
        </is>
      </c>
      <c r="B5961" s="1" t="n">
        <v>44354</v>
      </c>
      <c r="C5961" s="1" t="n">
        <v>45586</v>
      </c>
      <c r="D5961" t="inlineStr">
        <is>
          <t>VÄSTRA GÖTALANDS LÄN</t>
        </is>
      </c>
      <c r="E5961" t="inlineStr">
        <is>
          <t>HJO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28105-2021</t>
        </is>
      </c>
      <c r="B5962" s="1" t="n">
        <v>44355</v>
      </c>
      <c r="C5962" s="1" t="n">
        <v>45586</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27994-2021</t>
        </is>
      </c>
      <c r="B5963" s="1" t="n">
        <v>44355</v>
      </c>
      <c r="C5963" s="1" t="n">
        <v>45586</v>
      </c>
      <c r="D5963" t="inlineStr">
        <is>
          <t>VÄSTRA GÖTALANDS LÄN</t>
        </is>
      </c>
      <c r="E5963" t="inlineStr">
        <is>
          <t>TANUM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28064-2021</t>
        </is>
      </c>
      <c r="B5964" s="1" t="n">
        <v>44355</v>
      </c>
      <c r="C5964" s="1" t="n">
        <v>45586</v>
      </c>
      <c r="D5964" t="inlineStr">
        <is>
          <t>VÄSTRA GÖTALANDS LÄN</t>
        </is>
      </c>
      <c r="E5964" t="inlineStr">
        <is>
          <t>BORÅS</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28186-2021</t>
        </is>
      </c>
      <c r="B5965" s="1" t="n">
        <v>44355</v>
      </c>
      <c r="C5965" s="1" t="n">
        <v>45586</v>
      </c>
      <c r="D5965" t="inlineStr">
        <is>
          <t>VÄSTRA GÖTALANDS LÄN</t>
        </is>
      </c>
      <c r="E5965" t="inlineStr">
        <is>
          <t>UDDEVALLA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28201-2021</t>
        </is>
      </c>
      <c r="B5966" s="1" t="n">
        <v>44355</v>
      </c>
      <c r="C5966" s="1" t="n">
        <v>45586</v>
      </c>
      <c r="D5966" t="inlineStr">
        <is>
          <t>VÄSTRA GÖTALANDS LÄN</t>
        </is>
      </c>
      <c r="E5966" t="inlineStr">
        <is>
          <t>BOLLEBYGD</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28205-2021</t>
        </is>
      </c>
      <c r="B5967" s="1" t="n">
        <v>44355</v>
      </c>
      <c r="C5967" s="1" t="n">
        <v>45586</v>
      </c>
      <c r="D5967" t="inlineStr">
        <is>
          <t>VÄSTRA GÖTALANDS LÄN</t>
        </is>
      </c>
      <c r="E5967" t="inlineStr">
        <is>
          <t>GÖTENE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28213-2021</t>
        </is>
      </c>
      <c r="B5968" s="1" t="n">
        <v>44355</v>
      </c>
      <c r="C5968" s="1" t="n">
        <v>45586</v>
      </c>
      <c r="D5968" t="inlineStr">
        <is>
          <t>VÄSTRA GÖTALANDS LÄN</t>
        </is>
      </c>
      <c r="E5968" t="inlineStr">
        <is>
          <t>BORÅS</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28230-2021</t>
        </is>
      </c>
      <c r="B5969" s="1" t="n">
        <v>44355</v>
      </c>
      <c r="C5969" s="1" t="n">
        <v>45586</v>
      </c>
      <c r="D5969" t="inlineStr">
        <is>
          <t>VÄSTRA GÖTALANDS LÄN</t>
        </is>
      </c>
      <c r="E5969" t="inlineStr">
        <is>
          <t>TRANEMO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28236-2021</t>
        </is>
      </c>
      <c r="B5970" s="1" t="n">
        <v>44355</v>
      </c>
      <c r="C5970" s="1" t="n">
        <v>45586</v>
      </c>
      <c r="D5970" t="inlineStr">
        <is>
          <t>VÄSTRA GÖTALANDS LÄN</t>
        </is>
      </c>
      <c r="E5970" t="inlineStr">
        <is>
          <t>GÖTENE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28249-2021</t>
        </is>
      </c>
      <c r="B5971" s="1" t="n">
        <v>44355</v>
      </c>
      <c r="C5971" s="1" t="n">
        <v>45586</v>
      </c>
      <c r="D5971" t="inlineStr">
        <is>
          <t>VÄSTRA GÖTALANDS LÄN</t>
        </is>
      </c>
      <c r="E5971" t="inlineStr">
        <is>
          <t>LERUM</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28233-2021</t>
        </is>
      </c>
      <c r="B5972" s="1" t="n">
        <v>44355</v>
      </c>
      <c r="C5972" s="1" t="n">
        <v>45586</v>
      </c>
      <c r="D5972" t="inlineStr">
        <is>
          <t>VÄSTRA GÖTALANDS LÄN</t>
        </is>
      </c>
      <c r="E5972" t="inlineStr">
        <is>
          <t>GÖTENE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28240-2021</t>
        </is>
      </c>
      <c r="B5973" s="1" t="n">
        <v>44355</v>
      </c>
      <c r="C5973" s="1" t="n">
        <v>45586</v>
      </c>
      <c r="D5973" t="inlineStr">
        <is>
          <t>VÄSTRA GÖTALANDS LÄN</t>
        </is>
      </c>
      <c r="E5973" t="inlineStr">
        <is>
          <t>GÖTENE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28251-2021</t>
        </is>
      </c>
      <c r="B5974" s="1" t="n">
        <v>44355</v>
      </c>
      <c r="C5974" s="1" t="n">
        <v>45586</v>
      </c>
      <c r="D5974" t="inlineStr">
        <is>
          <t>VÄSTRA GÖTALANDS LÄN</t>
        </is>
      </c>
      <c r="E5974" t="inlineStr">
        <is>
          <t>ALINGSÅS</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28231-2021</t>
        </is>
      </c>
      <c r="B5975" s="1" t="n">
        <v>44355</v>
      </c>
      <c r="C5975" s="1" t="n">
        <v>45586</v>
      </c>
      <c r="D5975" t="inlineStr">
        <is>
          <t>VÄSTRA GÖTALANDS LÄN</t>
        </is>
      </c>
      <c r="E5975" t="inlineStr">
        <is>
          <t>GÖTENE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28320-2021</t>
        </is>
      </c>
      <c r="B5976" s="1" t="n">
        <v>44356</v>
      </c>
      <c r="C5976" s="1" t="n">
        <v>45586</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28329-2021</t>
        </is>
      </c>
      <c r="B5977" s="1" t="n">
        <v>44356</v>
      </c>
      <c r="C5977" s="1" t="n">
        <v>45586</v>
      </c>
      <c r="D5977" t="inlineStr">
        <is>
          <t>VÄSTRA GÖTALANDS LÄN</t>
        </is>
      </c>
      <c r="E5977" t="inlineStr">
        <is>
          <t>BENGTSFORS</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28357-2021</t>
        </is>
      </c>
      <c r="B5978" s="1" t="n">
        <v>44356</v>
      </c>
      <c r="C5978" s="1" t="n">
        <v>45586</v>
      </c>
      <c r="D5978" t="inlineStr">
        <is>
          <t>VÄSTRA GÖTALANDS LÄN</t>
        </is>
      </c>
      <c r="E5978" t="inlineStr">
        <is>
          <t>TANUM</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28354-2021</t>
        </is>
      </c>
      <c r="B5979" s="1" t="n">
        <v>44356</v>
      </c>
      <c r="C5979" s="1" t="n">
        <v>45586</v>
      </c>
      <c r="D5979" t="inlineStr">
        <is>
          <t>VÄSTRA GÖTALANDS LÄN</t>
        </is>
      </c>
      <c r="E5979" t="inlineStr">
        <is>
          <t>MUNKEDAL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28375-2021</t>
        </is>
      </c>
      <c r="B5980" s="1" t="n">
        <v>44356</v>
      </c>
      <c r="C5980" s="1" t="n">
        <v>45586</v>
      </c>
      <c r="D5980" t="inlineStr">
        <is>
          <t>VÄSTRA GÖTALANDS LÄN</t>
        </is>
      </c>
      <c r="E5980" t="inlineStr">
        <is>
          <t>MUNKEDAL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28407-2021</t>
        </is>
      </c>
      <c r="B5981" s="1" t="n">
        <v>44356</v>
      </c>
      <c r="C5981" s="1" t="n">
        <v>45586</v>
      </c>
      <c r="D5981" t="inlineStr">
        <is>
          <t>VÄSTRA GÖTALANDS LÄN</t>
        </is>
      </c>
      <c r="E5981" t="inlineStr">
        <is>
          <t>MARIESTAD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28622-2021</t>
        </is>
      </c>
      <c r="B5982" s="1" t="n">
        <v>44356</v>
      </c>
      <c r="C5982" s="1" t="n">
        <v>45586</v>
      </c>
      <c r="D5982" t="inlineStr">
        <is>
          <t>VÄSTRA GÖTALANDS LÄN</t>
        </is>
      </c>
      <c r="E5982" t="inlineStr">
        <is>
          <t>MARIESTAD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28379-2021</t>
        </is>
      </c>
      <c r="B5983" s="1" t="n">
        <v>44356</v>
      </c>
      <c r="C5983" s="1" t="n">
        <v>45586</v>
      </c>
      <c r="D5983" t="inlineStr">
        <is>
          <t>VÄSTRA GÖTALANDS LÄN</t>
        </is>
      </c>
      <c r="E5983" t="inlineStr">
        <is>
          <t>MUNKEDAL</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28360-2021</t>
        </is>
      </c>
      <c r="B5984" s="1" t="n">
        <v>44356</v>
      </c>
      <c r="C5984" s="1" t="n">
        <v>45586</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28560-2021</t>
        </is>
      </c>
      <c r="B5985" s="1" t="n">
        <v>44356</v>
      </c>
      <c r="C5985" s="1" t="n">
        <v>45586</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28550-2021</t>
        </is>
      </c>
      <c r="B5986" s="1" t="n">
        <v>44356</v>
      </c>
      <c r="C5986" s="1" t="n">
        <v>45586</v>
      </c>
      <c r="D5986" t="inlineStr">
        <is>
          <t>VÄSTRA GÖTALANDS LÄN</t>
        </is>
      </c>
      <c r="E5986" t="inlineStr">
        <is>
          <t>VÄNERSBORG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28641-2021</t>
        </is>
      </c>
      <c r="B5987" s="1" t="n">
        <v>44357</v>
      </c>
      <c r="C5987" s="1" t="n">
        <v>45586</v>
      </c>
      <c r="D5987" t="inlineStr">
        <is>
          <t>VÄSTRA GÖTALANDS LÄN</t>
        </is>
      </c>
      <c r="E5987" t="inlineStr">
        <is>
          <t>MARIESTAD</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28649-2021</t>
        </is>
      </c>
      <c r="B5988" s="1" t="n">
        <v>44357</v>
      </c>
      <c r="C5988" s="1" t="n">
        <v>45586</v>
      </c>
      <c r="D5988" t="inlineStr">
        <is>
          <t>VÄSTRA GÖTALANDS LÄN</t>
        </is>
      </c>
      <c r="E5988" t="inlineStr">
        <is>
          <t>FÄRGELANDA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28717-2021</t>
        </is>
      </c>
      <c r="B5989" s="1" t="n">
        <v>44357</v>
      </c>
      <c r="C5989" s="1" t="n">
        <v>45586</v>
      </c>
      <c r="D5989" t="inlineStr">
        <is>
          <t>VÄSTRA GÖTALANDS LÄN</t>
        </is>
      </c>
      <c r="E5989" t="inlineStr">
        <is>
          <t>ALINGSÅS</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28632-2021</t>
        </is>
      </c>
      <c r="B5990" s="1" t="n">
        <v>44357</v>
      </c>
      <c r="C5990" s="1" t="n">
        <v>45586</v>
      </c>
      <c r="D5990" t="inlineStr">
        <is>
          <t>VÄSTRA GÖTALANDS LÄN</t>
        </is>
      </c>
      <c r="E5990" t="inlineStr">
        <is>
          <t>SKARA</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28754-2021</t>
        </is>
      </c>
      <c r="B5991" s="1" t="n">
        <v>44357</v>
      </c>
      <c r="C5991" s="1" t="n">
        <v>45586</v>
      </c>
      <c r="D5991" t="inlineStr">
        <is>
          <t>VÄSTRA GÖTALANDS LÄN</t>
        </is>
      </c>
      <c r="E5991" t="inlineStr">
        <is>
          <t>MUNKEDAL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28755-2021</t>
        </is>
      </c>
      <c r="B5992" s="1" t="n">
        <v>44357</v>
      </c>
      <c r="C5992" s="1" t="n">
        <v>45586</v>
      </c>
      <c r="D5992" t="inlineStr">
        <is>
          <t>VÄSTRA GÖTALANDS LÄN</t>
        </is>
      </c>
      <c r="E5992" t="inlineStr">
        <is>
          <t>SVENLJUNGA</t>
        </is>
      </c>
      <c r="F5992" t="inlineStr">
        <is>
          <t>Kyrkan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28786-2021</t>
        </is>
      </c>
      <c r="B5993" s="1" t="n">
        <v>44357</v>
      </c>
      <c r="C5993" s="1" t="n">
        <v>45586</v>
      </c>
      <c r="D5993" t="inlineStr">
        <is>
          <t>VÄSTRA GÖTALANDS LÄN</t>
        </is>
      </c>
      <c r="E5993" t="inlineStr">
        <is>
          <t>BENGTSFORS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28753-2021</t>
        </is>
      </c>
      <c r="B5994" s="1" t="n">
        <v>44357</v>
      </c>
      <c r="C5994" s="1" t="n">
        <v>45586</v>
      </c>
      <c r="D5994" t="inlineStr">
        <is>
          <t>VÄSTRA GÖTALANDS LÄN</t>
        </is>
      </c>
      <c r="E5994" t="inlineStr">
        <is>
          <t>SVENLJUNGA</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28752-2021</t>
        </is>
      </c>
      <c r="B5995" s="1" t="n">
        <v>44357</v>
      </c>
      <c r="C5995" s="1" t="n">
        <v>45586</v>
      </c>
      <c r="D5995" t="inlineStr">
        <is>
          <t>VÄSTRA GÖTALANDS LÄN</t>
        </is>
      </c>
      <c r="E5995" t="inlineStr">
        <is>
          <t>SVENLJUNGA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28758-2021</t>
        </is>
      </c>
      <c r="B5996" s="1" t="n">
        <v>44357</v>
      </c>
      <c r="C5996" s="1" t="n">
        <v>45586</v>
      </c>
      <c r="D5996" t="inlineStr">
        <is>
          <t>VÄSTRA GÖTALANDS LÄN</t>
        </is>
      </c>
      <c r="E5996" t="inlineStr">
        <is>
          <t>MUNKEDAL</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28778-2021</t>
        </is>
      </c>
      <c r="B5997" s="1" t="n">
        <v>44357</v>
      </c>
      <c r="C5997" s="1" t="n">
        <v>45586</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28776-2021</t>
        </is>
      </c>
      <c r="B5998" s="1" t="n">
        <v>44357</v>
      </c>
      <c r="C5998" s="1" t="n">
        <v>45586</v>
      </c>
      <c r="D5998" t="inlineStr">
        <is>
          <t>VÄSTRA GÖTALANDS LÄN</t>
        </is>
      </c>
      <c r="E5998" t="inlineStr">
        <is>
          <t>LIDKÖPING</t>
        </is>
      </c>
      <c r="G5998" t="n">
        <v>27.5</v>
      </c>
      <c r="H5998" t="n">
        <v>0</v>
      </c>
      <c r="I5998" t="n">
        <v>0</v>
      </c>
      <c r="J5998" t="n">
        <v>0</v>
      </c>
      <c r="K5998" t="n">
        <v>0</v>
      </c>
      <c r="L5998" t="n">
        <v>0</v>
      </c>
      <c r="M5998" t="n">
        <v>0</v>
      </c>
      <c r="N5998" t="n">
        <v>0</v>
      </c>
      <c r="O5998" t="n">
        <v>0</v>
      </c>
      <c r="P5998" t="n">
        <v>0</v>
      </c>
      <c r="Q5998" t="n">
        <v>0</v>
      </c>
      <c r="R5998" s="2" t="inlineStr"/>
    </row>
    <row r="5999" ht="15" customHeight="1">
      <c r="A5999" t="inlineStr">
        <is>
          <t>A 28782-2021</t>
        </is>
      </c>
      <c r="B5999" s="1" t="n">
        <v>44357</v>
      </c>
      <c r="C5999" s="1" t="n">
        <v>45586</v>
      </c>
      <c r="D5999" t="inlineStr">
        <is>
          <t>VÄSTRA GÖTALANDS LÄN</t>
        </is>
      </c>
      <c r="E5999" t="inlineStr">
        <is>
          <t>BENGTSFORS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29025-2021</t>
        </is>
      </c>
      <c r="B6000" s="1" t="n">
        <v>44358</v>
      </c>
      <c r="C6000" s="1" t="n">
        <v>45586</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29086-2021</t>
        </is>
      </c>
      <c r="B6001" s="1" t="n">
        <v>44358</v>
      </c>
      <c r="C6001" s="1" t="n">
        <v>45586</v>
      </c>
      <c r="D6001" t="inlineStr">
        <is>
          <t>VÄSTRA GÖTALANDS LÄN</t>
        </is>
      </c>
      <c r="E6001" t="inlineStr">
        <is>
          <t>MUNKEDAL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29087-2021</t>
        </is>
      </c>
      <c r="B6002" s="1" t="n">
        <v>44358</v>
      </c>
      <c r="C6002" s="1" t="n">
        <v>45586</v>
      </c>
      <c r="D6002" t="inlineStr">
        <is>
          <t>VÄSTRA GÖTALANDS LÄN</t>
        </is>
      </c>
      <c r="E6002" t="inlineStr">
        <is>
          <t>MUNKEDAL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29078-2021</t>
        </is>
      </c>
      <c r="B6003" s="1" t="n">
        <v>44358</v>
      </c>
      <c r="C6003" s="1" t="n">
        <v>45586</v>
      </c>
      <c r="D6003" t="inlineStr">
        <is>
          <t>VÄSTRA GÖTALANDS LÄN</t>
        </is>
      </c>
      <c r="E6003" t="inlineStr">
        <is>
          <t>MUNKEDAL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29092-2021</t>
        </is>
      </c>
      <c r="B6004" s="1" t="n">
        <v>44358</v>
      </c>
      <c r="C6004" s="1" t="n">
        <v>45586</v>
      </c>
      <c r="D6004" t="inlineStr">
        <is>
          <t>VÄSTRA GÖTALANDS LÄN</t>
        </is>
      </c>
      <c r="E6004" t="inlineStr">
        <is>
          <t>MARK</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29176-2021</t>
        </is>
      </c>
      <c r="B6005" s="1" t="n">
        <v>44358</v>
      </c>
      <c r="C6005" s="1" t="n">
        <v>45586</v>
      </c>
      <c r="D6005" t="inlineStr">
        <is>
          <t>VÄSTRA GÖTALANDS LÄN</t>
        </is>
      </c>
      <c r="E6005" t="inlineStr">
        <is>
          <t>LERUM</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29186-2021</t>
        </is>
      </c>
      <c r="B6006" s="1" t="n">
        <v>44358</v>
      </c>
      <c r="C6006" s="1" t="n">
        <v>45586</v>
      </c>
      <c r="D6006" t="inlineStr">
        <is>
          <t>VÄSTRA GÖTALANDS LÄN</t>
        </is>
      </c>
      <c r="E6006" t="inlineStr">
        <is>
          <t>ALINGSÅS</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29229-2021</t>
        </is>
      </c>
      <c r="B6007" s="1" t="n">
        <v>44360</v>
      </c>
      <c r="C6007" s="1" t="n">
        <v>45586</v>
      </c>
      <c r="D6007" t="inlineStr">
        <is>
          <t>VÄSTRA GÖTALANDS LÄN</t>
        </is>
      </c>
      <c r="E6007" t="inlineStr">
        <is>
          <t>FALKÖPING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29287-2021</t>
        </is>
      </c>
      <c r="B6008" s="1" t="n">
        <v>44361</v>
      </c>
      <c r="C6008" s="1" t="n">
        <v>45586</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29371-2021</t>
        </is>
      </c>
      <c r="B6009" s="1" t="n">
        <v>44361</v>
      </c>
      <c r="C6009" s="1" t="n">
        <v>45586</v>
      </c>
      <c r="D6009" t="inlineStr">
        <is>
          <t>VÄSTRA GÖTALANDS LÄN</t>
        </is>
      </c>
      <c r="E6009" t="inlineStr">
        <is>
          <t>VÄNERSBORG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29386-2021</t>
        </is>
      </c>
      <c r="B6010" s="1" t="n">
        <v>44361</v>
      </c>
      <c r="C6010" s="1" t="n">
        <v>45586</v>
      </c>
      <c r="D6010" t="inlineStr">
        <is>
          <t>VÄSTRA GÖTALANDS LÄN</t>
        </is>
      </c>
      <c r="E6010" t="inlineStr">
        <is>
          <t>KARLSBORG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29261-2021</t>
        </is>
      </c>
      <c r="B6011" s="1" t="n">
        <v>44361</v>
      </c>
      <c r="C6011" s="1" t="n">
        <v>45586</v>
      </c>
      <c r="D6011" t="inlineStr">
        <is>
          <t>VÄSTRA GÖTALANDS LÄN</t>
        </is>
      </c>
      <c r="E6011" t="inlineStr">
        <is>
          <t>FALKÖPING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29334-2021</t>
        </is>
      </c>
      <c r="B6012" s="1" t="n">
        <v>44361</v>
      </c>
      <c r="C6012" s="1" t="n">
        <v>45586</v>
      </c>
      <c r="D6012" t="inlineStr">
        <is>
          <t>VÄSTRA GÖTALANDS LÄN</t>
        </is>
      </c>
      <c r="E6012" t="inlineStr">
        <is>
          <t>TANUM</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29385-2021</t>
        </is>
      </c>
      <c r="B6013" s="1" t="n">
        <v>44361</v>
      </c>
      <c r="C6013" s="1" t="n">
        <v>45586</v>
      </c>
      <c r="D6013" t="inlineStr">
        <is>
          <t>VÄSTRA GÖTALANDS LÄN</t>
        </is>
      </c>
      <c r="E6013" t="inlineStr">
        <is>
          <t>LIDKÖPING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29383-2021</t>
        </is>
      </c>
      <c r="B6014" s="1" t="n">
        <v>44361</v>
      </c>
      <c r="C6014" s="1" t="n">
        <v>45586</v>
      </c>
      <c r="D6014" t="inlineStr">
        <is>
          <t>VÄSTRA GÖTALANDS LÄN</t>
        </is>
      </c>
      <c r="E6014" t="inlineStr">
        <is>
          <t>VÄNERSBORG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29504-2021</t>
        </is>
      </c>
      <c r="B6015" s="1" t="n">
        <v>44361</v>
      </c>
      <c r="C6015" s="1" t="n">
        <v>45586</v>
      </c>
      <c r="D6015" t="inlineStr">
        <is>
          <t>VÄSTRA GÖTALANDS LÄN</t>
        </is>
      </c>
      <c r="E6015" t="inlineStr">
        <is>
          <t>TANUM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29499-2021</t>
        </is>
      </c>
      <c r="B6016" s="1" t="n">
        <v>44361</v>
      </c>
      <c r="C6016" s="1" t="n">
        <v>45586</v>
      </c>
      <c r="D6016" t="inlineStr">
        <is>
          <t>VÄSTRA GÖTALANDS LÄN</t>
        </is>
      </c>
      <c r="E6016" t="inlineStr">
        <is>
          <t>TANUM</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29462-2021</t>
        </is>
      </c>
      <c r="B6017" s="1" t="n">
        <v>44361</v>
      </c>
      <c r="C6017" s="1" t="n">
        <v>45586</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29502-2021</t>
        </is>
      </c>
      <c r="B6018" s="1" t="n">
        <v>44361</v>
      </c>
      <c r="C6018" s="1" t="n">
        <v>45586</v>
      </c>
      <c r="D6018" t="inlineStr">
        <is>
          <t>VÄSTRA GÖTALANDS LÄN</t>
        </is>
      </c>
      <c r="E6018" t="inlineStr">
        <is>
          <t>MUNKEDAL</t>
        </is>
      </c>
      <c r="G6018" t="n">
        <v>25.7</v>
      </c>
      <c r="H6018" t="n">
        <v>0</v>
      </c>
      <c r="I6018" t="n">
        <v>0</v>
      </c>
      <c r="J6018" t="n">
        <v>0</v>
      </c>
      <c r="K6018" t="n">
        <v>0</v>
      </c>
      <c r="L6018" t="n">
        <v>0</v>
      </c>
      <c r="M6018" t="n">
        <v>0</v>
      </c>
      <c r="N6018" t="n">
        <v>0</v>
      </c>
      <c r="O6018" t="n">
        <v>0</v>
      </c>
      <c r="P6018" t="n">
        <v>0</v>
      </c>
      <c r="Q6018" t="n">
        <v>0</v>
      </c>
      <c r="R6018" s="2" t="inlineStr"/>
    </row>
    <row r="6019" ht="15" customHeight="1">
      <c r="A6019" t="inlineStr">
        <is>
          <t>A 29537-2021</t>
        </is>
      </c>
      <c r="B6019" s="1" t="n">
        <v>44361</v>
      </c>
      <c r="C6019" s="1" t="n">
        <v>45586</v>
      </c>
      <c r="D6019" t="inlineStr">
        <is>
          <t>VÄSTRA GÖTALANDS LÄN</t>
        </is>
      </c>
      <c r="E6019" t="inlineStr">
        <is>
          <t>MARIESTAD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29655-2021</t>
        </is>
      </c>
      <c r="B6020" s="1" t="n">
        <v>44361</v>
      </c>
      <c r="C6020" s="1" t="n">
        <v>45586</v>
      </c>
      <c r="D6020" t="inlineStr">
        <is>
          <t>VÄSTRA GÖTALANDS LÄN</t>
        </is>
      </c>
      <c r="E6020" t="inlineStr">
        <is>
          <t>UDDEVALLA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29770-2021</t>
        </is>
      </c>
      <c r="B6021" s="1" t="n">
        <v>44362</v>
      </c>
      <c r="C6021" s="1" t="n">
        <v>45586</v>
      </c>
      <c r="D6021" t="inlineStr">
        <is>
          <t>VÄSTRA GÖTALANDS LÄN</t>
        </is>
      </c>
      <c r="E6021" t="inlineStr">
        <is>
          <t>FÄRGELANDA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29755-2021</t>
        </is>
      </c>
      <c r="B6022" s="1" t="n">
        <v>44362</v>
      </c>
      <c r="C6022" s="1" t="n">
        <v>45586</v>
      </c>
      <c r="D6022" t="inlineStr">
        <is>
          <t>VÄSTRA GÖTALANDS LÄN</t>
        </is>
      </c>
      <c r="E6022" t="inlineStr">
        <is>
          <t>VÄNERSBORG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29824-2021</t>
        </is>
      </c>
      <c r="B6023" s="1" t="n">
        <v>44362</v>
      </c>
      <c r="C6023" s="1" t="n">
        <v>45586</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29869-2021</t>
        </is>
      </c>
      <c r="B6024" s="1" t="n">
        <v>44362</v>
      </c>
      <c r="C6024" s="1" t="n">
        <v>45586</v>
      </c>
      <c r="D6024" t="inlineStr">
        <is>
          <t>VÄSTRA GÖTALANDS LÄN</t>
        </is>
      </c>
      <c r="E6024" t="inlineStr">
        <is>
          <t>FALKÖPING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30038-2021</t>
        </is>
      </c>
      <c r="B6025" s="1" t="n">
        <v>44363</v>
      </c>
      <c r="C6025" s="1" t="n">
        <v>45586</v>
      </c>
      <c r="D6025" t="inlineStr">
        <is>
          <t>VÄSTRA GÖTALANDS LÄN</t>
        </is>
      </c>
      <c r="E6025" t="inlineStr">
        <is>
          <t>VÅRGÅRDA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30058-2021</t>
        </is>
      </c>
      <c r="B6026" s="1" t="n">
        <v>44363</v>
      </c>
      <c r="C6026" s="1" t="n">
        <v>45586</v>
      </c>
      <c r="D6026" t="inlineStr">
        <is>
          <t>VÄSTRA GÖTALANDS LÄN</t>
        </is>
      </c>
      <c r="E6026" t="inlineStr">
        <is>
          <t>SKARA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29939-2021</t>
        </is>
      </c>
      <c r="B6027" s="1" t="n">
        <v>44363</v>
      </c>
      <c r="C6027" s="1" t="n">
        <v>45586</v>
      </c>
      <c r="D6027" t="inlineStr">
        <is>
          <t>VÄSTRA GÖTALANDS LÄN</t>
        </is>
      </c>
      <c r="E6027" t="inlineStr">
        <is>
          <t>MARIESTAD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30034-2021</t>
        </is>
      </c>
      <c r="B6028" s="1" t="n">
        <v>44363</v>
      </c>
      <c r="C6028" s="1" t="n">
        <v>45586</v>
      </c>
      <c r="D6028" t="inlineStr">
        <is>
          <t>VÄSTRA GÖTALANDS LÄN</t>
        </is>
      </c>
      <c r="E6028" t="inlineStr">
        <is>
          <t>SKÖVDE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30046-2021</t>
        </is>
      </c>
      <c r="B6029" s="1" t="n">
        <v>44363</v>
      </c>
      <c r="C6029" s="1" t="n">
        <v>45586</v>
      </c>
      <c r="D6029" t="inlineStr">
        <is>
          <t>VÄSTRA GÖTALANDS LÄN</t>
        </is>
      </c>
      <c r="E6029" t="inlineStr">
        <is>
          <t>LILLA EDET</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30057-2021</t>
        </is>
      </c>
      <c r="B6030" s="1" t="n">
        <v>44363</v>
      </c>
      <c r="C6030" s="1" t="n">
        <v>45586</v>
      </c>
      <c r="D6030" t="inlineStr">
        <is>
          <t>VÄSTRA GÖTALANDS LÄN</t>
        </is>
      </c>
      <c r="E6030" t="inlineStr">
        <is>
          <t>SKARA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29967-2021</t>
        </is>
      </c>
      <c r="B6031" s="1" t="n">
        <v>44363</v>
      </c>
      <c r="C6031" s="1" t="n">
        <v>45586</v>
      </c>
      <c r="D6031" t="inlineStr">
        <is>
          <t>VÄSTRA GÖTALANDS LÄN</t>
        </is>
      </c>
      <c r="E6031" t="inlineStr">
        <is>
          <t>MARK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29994-2021</t>
        </is>
      </c>
      <c r="B6032" s="1" t="n">
        <v>44363</v>
      </c>
      <c r="C6032" s="1" t="n">
        <v>45586</v>
      </c>
      <c r="D6032" t="inlineStr">
        <is>
          <t>VÄSTRA GÖTALANDS LÄN</t>
        </is>
      </c>
      <c r="E6032" t="inlineStr">
        <is>
          <t>SKÖVDE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30042-2021</t>
        </is>
      </c>
      <c r="B6033" s="1" t="n">
        <v>44363</v>
      </c>
      <c r="C6033" s="1" t="n">
        <v>45586</v>
      </c>
      <c r="D6033" t="inlineStr">
        <is>
          <t>VÄSTRA GÖTALANDS LÄN</t>
        </is>
      </c>
      <c r="E6033" t="inlineStr">
        <is>
          <t>LILLA EDET</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30060-2021</t>
        </is>
      </c>
      <c r="B6034" s="1" t="n">
        <v>44363</v>
      </c>
      <c r="C6034" s="1" t="n">
        <v>45586</v>
      </c>
      <c r="D6034" t="inlineStr">
        <is>
          <t>VÄSTRA GÖTALANDS LÄN</t>
        </is>
      </c>
      <c r="E6034" t="inlineStr">
        <is>
          <t>SKARA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29995-2021</t>
        </is>
      </c>
      <c r="B6035" s="1" t="n">
        <v>44363</v>
      </c>
      <c r="C6035" s="1" t="n">
        <v>45586</v>
      </c>
      <c r="D6035" t="inlineStr">
        <is>
          <t>VÄSTRA GÖTALANDS LÄN</t>
        </is>
      </c>
      <c r="E6035" t="inlineStr">
        <is>
          <t>BENGTSFORS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30045-2021</t>
        </is>
      </c>
      <c r="B6036" s="1" t="n">
        <v>44363</v>
      </c>
      <c r="C6036" s="1" t="n">
        <v>45586</v>
      </c>
      <c r="D6036" t="inlineStr">
        <is>
          <t>VÄSTRA GÖTALANDS LÄN</t>
        </is>
      </c>
      <c r="E6036" t="inlineStr">
        <is>
          <t>LILLA EDET</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30056-2021</t>
        </is>
      </c>
      <c r="B6037" s="1" t="n">
        <v>44363</v>
      </c>
      <c r="C6037" s="1" t="n">
        <v>45586</v>
      </c>
      <c r="D6037" t="inlineStr">
        <is>
          <t>VÄSTRA GÖTALANDS LÄN</t>
        </is>
      </c>
      <c r="E6037" t="inlineStr">
        <is>
          <t>SKARA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30061-2021</t>
        </is>
      </c>
      <c r="B6038" s="1" t="n">
        <v>44363</v>
      </c>
      <c r="C6038" s="1" t="n">
        <v>45586</v>
      </c>
      <c r="D6038" t="inlineStr">
        <is>
          <t>VÄSTRA GÖTALANDS LÄN</t>
        </is>
      </c>
      <c r="E6038" t="inlineStr">
        <is>
          <t>VÅRGÅRDA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30137-2021</t>
        </is>
      </c>
      <c r="B6039" s="1" t="n">
        <v>44363</v>
      </c>
      <c r="C6039" s="1" t="n">
        <v>45586</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30159-2021</t>
        </is>
      </c>
      <c r="B6040" s="1" t="n">
        <v>44363</v>
      </c>
      <c r="C6040" s="1" t="n">
        <v>45586</v>
      </c>
      <c r="D6040" t="inlineStr">
        <is>
          <t>VÄSTRA GÖTALANDS LÄN</t>
        </is>
      </c>
      <c r="E6040" t="inlineStr">
        <is>
          <t>MARK</t>
        </is>
      </c>
      <c r="F6040" t="inlineStr">
        <is>
          <t>Kyrkan</t>
        </is>
      </c>
      <c r="G6040" t="n">
        <v>13.2</v>
      </c>
      <c r="H6040" t="n">
        <v>0</v>
      </c>
      <c r="I6040" t="n">
        <v>0</v>
      </c>
      <c r="J6040" t="n">
        <v>0</v>
      </c>
      <c r="K6040" t="n">
        <v>0</v>
      </c>
      <c r="L6040" t="n">
        <v>0</v>
      </c>
      <c r="M6040" t="n">
        <v>0</v>
      </c>
      <c r="N6040" t="n">
        <v>0</v>
      </c>
      <c r="O6040" t="n">
        <v>0</v>
      </c>
      <c r="P6040" t="n">
        <v>0</v>
      </c>
      <c r="Q6040" t="n">
        <v>0</v>
      </c>
      <c r="R6040" s="2" t="inlineStr"/>
    </row>
    <row r="6041" ht="15" customHeight="1">
      <c r="A6041" t="inlineStr">
        <is>
          <t>A 30179-2021</t>
        </is>
      </c>
      <c r="B6041" s="1" t="n">
        <v>44363</v>
      </c>
      <c r="C6041" s="1" t="n">
        <v>45586</v>
      </c>
      <c r="D6041" t="inlineStr">
        <is>
          <t>VÄSTRA GÖTALANDS LÄN</t>
        </is>
      </c>
      <c r="E6041" t="inlineStr">
        <is>
          <t>BOLLEBYGD</t>
        </is>
      </c>
      <c r="F6041" t="inlineStr">
        <is>
          <t>Kyrkan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30185-2021</t>
        </is>
      </c>
      <c r="B6042" s="1" t="n">
        <v>44363</v>
      </c>
      <c r="C6042" s="1" t="n">
        <v>45586</v>
      </c>
      <c r="D6042" t="inlineStr">
        <is>
          <t>VÄSTRA GÖTALANDS LÄN</t>
        </is>
      </c>
      <c r="E6042" t="inlineStr">
        <is>
          <t>VÄNERSBORG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30166-2021</t>
        </is>
      </c>
      <c r="B6043" s="1" t="n">
        <v>44363</v>
      </c>
      <c r="C6043" s="1" t="n">
        <v>45586</v>
      </c>
      <c r="D6043" t="inlineStr">
        <is>
          <t>VÄSTRA GÖTALANDS LÄN</t>
        </is>
      </c>
      <c r="E6043" t="inlineStr">
        <is>
          <t>ÅMÅL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30177-2021</t>
        </is>
      </c>
      <c r="B6044" s="1" t="n">
        <v>44363</v>
      </c>
      <c r="C6044" s="1" t="n">
        <v>45586</v>
      </c>
      <c r="D6044" t="inlineStr">
        <is>
          <t>VÄSTRA GÖTALANDS LÄN</t>
        </is>
      </c>
      <c r="E6044" t="inlineStr">
        <is>
          <t>BOLLEBYGD</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30220-2021</t>
        </is>
      </c>
      <c r="B6045" s="1" t="n">
        <v>44363</v>
      </c>
      <c r="C6045" s="1" t="n">
        <v>45586</v>
      </c>
      <c r="D6045" t="inlineStr">
        <is>
          <t>VÄSTRA GÖTALANDS LÄN</t>
        </is>
      </c>
      <c r="E6045" t="inlineStr">
        <is>
          <t>TROLLHÄTTAN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30180-2021</t>
        </is>
      </c>
      <c r="B6046" s="1" t="n">
        <v>44363</v>
      </c>
      <c r="C6046" s="1" t="n">
        <v>45586</v>
      </c>
      <c r="D6046" t="inlineStr">
        <is>
          <t>VÄSTRA GÖTALANDS LÄN</t>
        </is>
      </c>
      <c r="E6046" t="inlineStr">
        <is>
          <t>HERRLJUNGA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30191-2021</t>
        </is>
      </c>
      <c r="B6047" s="1" t="n">
        <v>44363</v>
      </c>
      <c r="C6047" s="1" t="n">
        <v>45586</v>
      </c>
      <c r="D6047" t="inlineStr">
        <is>
          <t>VÄSTRA GÖTALANDS LÄN</t>
        </is>
      </c>
      <c r="E6047" t="inlineStr">
        <is>
          <t>MARK</t>
        </is>
      </c>
      <c r="F6047" t="inlineStr">
        <is>
          <t>Kyrkan</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30201-2021</t>
        </is>
      </c>
      <c r="B6048" s="1" t="n">
        <v>44363</v>
      </c>
      <c r="C6048" s="1" t="n">
        <v>45586</v>
      </c>
      <c r="D6048" t="inlineStr">
        <is>
          <t>VÄSTRA GÖTALANDS LÄN</t>
        </is>
      </c>
      <c r="E6048" t="inlineStr">
        <is>
          <t>VÄNERSBORG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30251-2021</t>
        </is>
      </c>
      <c r="B6049" s="1" t="n">
        <v>44363</v>
      </c>
      <c r="C6049" s="1" t="n">
        <v>45586</v>
      </c>
      <c r="D6049" t="inlineStr">
        <is>
          <t>VÄSTRA GÖTALANDS LÄN</t>
        </is>
      </c>
      <c r="E6049" t="inlineStr">
        <is>
          <t>LERUM</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30313-2021</t>
        </is>
      </c>
      <c r="B6050" s="1" t="n">
        <v>44364</v>
      </c>
      <c r="C6050" s="1" t="n">
        <v>45586</v>
      </c>
      <c r="D6050" t="inlineStr">
        <is>
          <t>VÄSTRA GÖTALANDS LÄN</t>
        </is>
      </c>
      <c r="E6050" t="inlineStr">
        <is>
          <t>GULLSPÅNG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30385-2021</t>
        </is>
      </c>
      <c r="B6051" s="1" t="n">
        <v>44364</v>
      </c>
      <c r="C6051" s="1" t="n">
        <v>45586</v>
      </c>
      <c r="D6051" t="inlineStr">
        <is>
          <t>VÄSTRA GÖTALANDS LÄN</t>
        </is>
      </c>
      <c r="E6051" t="inlineStr">
        <is>
          <t>DALS-ED</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30380-2021</t>
        </is>
      </c>
      <c r="B6052" s="1" t="n">
        <v>44364</v>
      </c>
      <c r="C6052" s="1" t="n">
        <v>45586</v>
      </c>
      <c r="D6052" t="inlineStr">
        <is>
          <t>VÄSTRA GÖTALANDS LÄN</t>
        </is>
      </c>
      <c r="E6052" t="inlineStr">
        <is>
          <t>DALS-ED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30411-2021</t>
        </is>
      </c>
      <c r="B6053" s="1" t="n">
        <v>44364</v>
      </c>
      <c r="C6053" s="1" t="n">
        <v>45586</v>
      </c>
      <c r="D6053" t="inlineStr">
        <is>
          <t>VÄSTRA GÖTALANDS LÄN</t>
        </is>
      </c>
      <c r="E6053" t="inlineStr">
        <is>
          <t>HJO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30491-2021</t>
        </is>
      </c>
      <c r="B6054" s="1" t="n">
        <v>44364</v>
      </c>
      <c r="C6054" s="1" t="n">
        <v>45586</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30518-2021</t>
        </is>
      </c>
      <c r="B6055" s="1" t="n">
        <v>44364</v>
      </c>
      <c r="C6055" s="1" t="n">
        <v>45586</v>
      </c>
      <c r="D6055" t="inlineStr">
        <is>
          <t>VÄSTRA GÖTALANDS LÄN</t>
        </is>
      </c>
      <c r="E6055" t="inlineStr">
        <is>
          <t>LERUM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30687-2021</t>
        </is>
      </c>
      <c r="B6056" s="1" t="n">
        <v>44365</v>
      </c>
      <c r="C6056" s="1" t="n">
        <v>45586</v>
      </c>
      <c r="D6056" t="inlineStr">
        <is>
          <t>VÄSTRA GÖTALANDS LÄN</t>
        </is>
      </c>
      <c r="E6056" t="inlineStr">
        <is>
          <t>SKARA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30804-2021</t>
        </is>
      </c>
      <c r="B6057" s="1" t="n">
        <v>44365</v>
      </c>
      <c r="C6057" s="1" t="n">
        <v>45586</v>
      </c>
      <c r="D6057" t="inlineStr">
        <is>
          <t>VÄSTRA GÖTALANDS LÄN</t>
        </is>
      </c>
      <c r="E6057" t="inlineStr">
        <is>
          <t>SKÖVDE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30878-2021</t>
        </is>
      </c>
      <c r="B6058" s="1" t="n">
        <v>44365</v>
      </c>
      <c r="C6058" s="1" t="n">
        <v>45586</v>
      </c>
      <c r="D6058" t="inlineStr">
        <is>
          <t>VÄSTRA GÖTALANDS LÄN</t>
        </is>
      </c>
      <c r="E6058" t="inlineStr">
        <is>
          <t>VÄNERSBORG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30951-2021</t>
        </is>
      </c>
      <c r="B6059" s="1" t="n">
        <v>44365</v>
      </c>
      <c r="C6059" s="1" t="n">
        <v>45586</v>
      </c>
      <c r="D6059" t="inlineStr">
        <is>
          <t>VÄSTRA GÖTALANDS LÄN</t>
        </is>
      </c>
      <c r="E6059" t="inlineStr">
        <is>
          <t>LILLA EDET</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30854-2021</t>
        </is>
      </c>
      <c r="B6060" s="1" t="n">
        <v>44365</v>
      </c>
      <c r="C6060" s="1" t="n">
        <v>45586</v>
      </c>
      <c r="D6060" t="inlineStr">
        <is>
          <t>VÄSTRA GÖTALANDS LÄN</t>
        </is>
      </c>
      <c r="E6060" t="inlineStr">
        <is>
          <t>BORÅS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30869-2021</t>
        </is>
      </c>
      <c r="B6061" s="1" t="n">
        <v>44365</v>
      </c>
      <c r="C6061" s="1" t="n">
        <v>45586</v>
      </c>
      <c r="D6061" t="inlineStr">
        <is>
          <t>VÄSTRA GÖTALANDS LÄN</t>
        </is>
      </c>
      <c r="E6061" t="inlineStr">
        <is>
          <t>GÖTENE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30889-2021</t>
        </is>
      </c>
      <c r="B6062" s="1" t="n">
        <v>44365</v>
      </c>
      <c r="C6062" s="1" t="n">
        <v>45586</v>
      </c>
      <c r="D6062" t="inlineStr">
        <is>
          <t>VÄSTRA GÖTALANDS LÄN</t>
        </is>
      </c>
      <c r="E6062" t="inlineStr">
        <is>
          <t>FÄRGELANDA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30935-2021</t>
        </is>
      </c>
      <c r="B6063" s="1" t="n">
        <v>44365</v>
      </c>
      <c r="C6063" s="1" t="n">
        <v>45586</v>
      </c>
      <c r="D6063" t="inlineStr">
        <is>
          <t>VÄSTRA GÖTALANDS LÄN</t>
        </is>
      </c>
      <c r="E6063" t="inlineStr">
        <is>
          <t>BENGTSFORS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31003-2021</t>
        </is>
      </c>
      <c r="B6064" s="1" t="n">
        <v>44366</v>
      </c>
      <c r="C6064" s="1" t="n">
        <v>45586</v>
      </c>
      <c r="D6064" t="inlineStr">
        <is>
          <t>VÄSTRA GÖTALANDS LÄN</t>
        </is>
      </c>
      <c r="E6064" t="inlineStr">
        <is>
          <t>TRANEMO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31002-2021</t>
        </is>
      </c>
      <c r="B6065" s="1" t="n">
        <v>44366</v>
      </c>
      <c r="C6065" s="1" t="n">
        <v>45586</v>
      </c>
      <c r="D6065" t="inlineStr">
        <is>
          <t>VÄSTRA GÖTALANDS LÄN</t>
        </is>
      </c>
      <c r="E6065" t="inlineStr">
        <is>
          <t>TRANEMO</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30998-2021</t>
        </is>
      </c>
      <c r="B6066" s="1" t="n">
        <v>44366</v>
      </c>
      <c r="C6066" s="1" t="n">
        <v>45586</v>
      </c>
      <c r="D6066" t="inlineStr">
        <is>
          <t>VÄSTRA GÖTALANDS LÄN</t>
        </is>
      </c>
      <c r="E6066" t="inlineStr">
        <is>
          <t>TRANEMO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30997-2021</t>
        </is>
      </c>
      <c r="B6067" s="1" t="n">
        <v>44366</v>
      </c>
      <c r="C6067" s="1" t="n">
        <v>45586</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31015-2021</t>
        </is>
      </c>
      <c r="B6068" s="1" t="n">
        <v>44367</v>
      </c>
      <c r="C6068" s="1" t="n">
        <v>45586</v>
      </c>
      <c r="D6068" t="inlineStr">
        <is>
          <t>VÄSTRA GÖTALANDS LÄN</t>
        </is>
      </c>
      <c r="E6068" t="inlineStr">
        <is>
          <t>BENGTSFORS</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31196-2021</t>
        </is>
      </c>
      <c r="B6069" s="1" t="n">
        <v>44368</v>
      </c>
      <c r="C6069" s="1" t="n">
        <v>45586</v>
      </c>
      <c r="D6069" t="inlineStr">
        <is>
          <t>VÄSTRA GÖTALANDS LÄN</t>
        </is>
      </c>
      <c r="E6069" t="inlineStr">
        <is>
          <t>BENGTSFORS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31208-2021</t>
        </is>
      </c>
      <c r="B6070" s="1" t="n">
        <v>44368</v>
      </c>
      <c r="C6070" s="1" t="n">
        <v>45586</v>
      </c>
      <c r="D6070" t="inlineStr">
        <is>
          <t>VÄSTRA GÖTALANDS LÄN</t>
        </is>
      </c>
      <c r="E6070" t="inlineStr">
        <is>
          <t>ÅMÅL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31218-2021</t>
        </is>
      </c>
      <c r="B6071" s="1" t="n">
        <v>44368</v>
      </c>
      <c r="C6071" s="1" t="n">
        <v>45586</v>
      </c>
      <c r="D6071" t="inlineStr">
        <is>
          <t>VÄSTRA GÖTALANDS LÄN</t>
        </is>
      </c>
      <c r="E6071" t="inlineStr">
        <is>
          <t>BENGTSFORS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31230-2021</t>
        </is>
      </c>
      <c r="B6072" s="1" t="n">
        <v>44368</v>
      </c>
      <c r="C6072" s="1" t="n">
        <v>45586</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31195-2021</t>
        </is>
      </c>
      <c r="B6073" s="1" t="n">
        <v>44368</v>
      </c>
      <c r="C6073" s="1" t="n">
        <v>45586</v>
      </c>
      <c r="D6073" t="inlineStr">
        <is>
          <t>VÄSTRA GÖTALANDS LÄN</t>
        </is>
      </c>
      <c r="E6073" t="inlineStr">
        <is>
          <t>TÖREBODA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31206-2021</t>
        </is>
      </c>
      <c r="B6074" s="1" t="n">
        <v>44368</v>
      </c>
      <c r="C6074" s="1" t="n">
        <v>45586</v>
      </c>
      <c r="D6074" t="inlineStr">
        <is>
          <t>VÄSTRA GÖTALANDS LÄN</t>
        </is>
      </c>
      <c r="E6074" t="inlineStr">
        <is>
          <t>ULRICEHAMN</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31214-2021</t>
        </is>
      </c>
      <c r="B6075" s="1" t="n">
        <v>44368</v>
      </c>
      <c r="C6075" s="1" t="n">
        <v>45586</v>
      </c>
      <c r="D6075" t="inlineStr">
        <is>
          <t>VÄSTRA GÖTALANDS LÄN</t>
        </is>
      </c>
      <c r="E6075" t="inlineStr">
        <is>
          <t>BENGTSFORS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31236-2021</t>
        </is>
      </c>
      <c r="B6076" s="1" t="n">
        <v>44368</v>
      </c>
      <c r="C6076" s="1" t="n">
        <v>45586</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31078-2021</t>
        </is>
      </c>
      <c r="B6077" s="1" t="n">
        <v>44368</v>
      </c>
      <c r="C6077" s="1" t="n">
        <v>45586</v>
      </c>
      <c r="D6077" t="inlineStr">
        <is>
          <t>VÄSTRA GÖTALANDS LÄN</t>
        </is>
      </c>
      <c r="E6077" t="inlineStr">
        <is>
          <t>DALS-ED</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31088-2021</t>
        </is>
      </c>
      <c r="B6078" s="1" t="n">
        <v>44368</v>
      </c>
      <c r="C6078" s="1" t="n">
        <v>45586</v>
      </c>
      <c r="D6078" t="inlineStr">
        <is>
          <t>VÄSTRA GÖTALANDS LÄN</t>
        </is>
      </c>
      <c r="E6078" t="inlineStr">
        <is>
          <t>TROLLHÄTTAN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31135-2021</t>
        </is>
      </c>
      <c r="B6079" s="1" t="n">
        <v>44368</v>
      </c>
      <c r="C6079" s="1" t="n">
        <v>45586</v>
      </c>
      <c r="D6079" t="inlineStr">
        <is>
          <t>VÄSTRA GÖTALANDS LÄN</t>
        </is>
      </c>
      <c r="E6079" t="inlineStr">
        <is>
          <t>ULRICEHAMN</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31245-2021</t>
        </is>
      </c>
      <c r="B6080" s="1" t="n">
        <v>44368</v>
      </c>
      <c r="C6080" s="1" t="n">
        <v>45586</v>
      </c>
      <c r="D6080" t="inlineStr">
        <is>
          <t>VÄSTRA GÖTALANDS LÄN</t>
        </is>
      </c>
      <c r="E6080" t="inlineStr">
        <is>
          <t>FALKÖPING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31445-2021</t>
        </is>
      </c>
      <c r="B6081" s="1" t="n">
        <v>44369</v>
      </c>
      <c r="C6081" s="1" t="n">
        <v>45586</v>
      </c>
      <c r="D6081" t="inlineStr">
        <is>
          <t>VÄSTRA GÖTALANDS LÄN</t>
        </is>
      </c>
      <c r="E6081" t="inlineStr">
        <is>
          <t>BENGTSFORS</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31450-2021</t>
        </is>
      </c>
      <c r="B6082" s="1" t="n">
        <v>44369</v>
      </c>
      <c r="C6082" s="1" t="n">
        <v>45586</v>
      </c>
      <c r="D6082" t="inlineStr">
        <is>
          <t>VÄSTRA GÖTALANDS LÄN</t>
        </is>
      </c>
      <c r="E6082" t="inlineStr">
        <is>
          <t>MUNKEDAL</t>
        </is>
      </c>
      <c r="F6082" t="inlineStr">
        <is>
          <t>Kyrkan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31486-2021</t>
        </is>
      </c>
      <c r="B6083" s="1" t="n">
        <v>44369</v>
      </c>
      <c r="C6083" s="1" t="n">
        <v>45586</v>
      </c>
      <c r="D6083" t="inlineStr">
        <is>
          <t>VÄSTRA GÖTALANDS LÄN</t>
        </is>
      </c>
      <c r="E6083" t="inlineStr">
        <is>
          <t>TJÖRN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31566-2021</t>
        </is>
      </c>
      <c r="B6084" s="1" t="n">
        <v>44369</v>
      </c>
      <c r="C6084" s="1" t="n">
        <v>45586</v>
      </c>
      <c r="D6084" t="inlineStr">
        <is>
          <t>VÄSTRA GÖTALANDS LÄN</t>
        </is>
      </c>
      <c r="E6084" t="inlineStr">
        <is>
          <t>ALE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31448-2021</t>
        </is>
      </c>
      <c r="B6085" s="1" t="n">
        <v>44369</v>
      </c>
      <c r="C6085" s="1" t="n">
        <v>45586</v>
      </c>
      <c r="D6085" t="inlineStr">
        <is>
          <t>VÄSTRA GÖTALANDS LÄN</t>
        </is>
      </c>
      <c r="E6085" t="inlineStr">
        <is>
          <t>GÖTENE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31559-2021</t>
        </is>
      </c>
      <c r="B6086" s="1" t="n">
        <v>44369</v>
      </c>
      <c r="C6086" s="1" t="n">
        <v>45586</v>
      </c>
      <c r="D6086" t="inlineStr">
        <is>
          <t>VÄSTRA GÖTALANDS LÄN</t>
        </is>
      </c>
      <c r="E6086" t="inlineStr">
        <is>
          <t>GÖTENE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31617-2021</t>
        </is>
      </c>
      <c r="B6087" s="1" t="n">
        <v>44369</v>
      </c>
      <c r="C6087" s="1" t="n">
        <v>45586</v>
      </c>
      <c r="D6087" t="inlineStr">
        <is>
          <t>VÄSTRA GÖTALANDS LÄN</t>
        </is>
      </c>
      <c r="E6087" t="inlineStr">
        <is>
          <t>BOLLEBYGD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31568-2021</t>
        </is>
      </c>
      <c r="B6088" s="1" t="n">
        <v>44369</v>
      </c>
      <c r="C6088" s="1" t="n">
        <v>45586</v>
      </c>
      <c r="D6088" t="inlineStr">
        <is>
          <t>VÄSTRA GÖTALANDS LÄN</t>
        </is>
      </c>
      <c r="E6088" t="inlineStr">
        <is>
          <t>ALE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31426-2021</t>
        </is>
      </c>
      <c r="B6089" s="1" t="n">
        <v>44369</v>
      </c>
      <c r="C6089" s="1" t="n">
        <v>45586</v>
      </c>
      <c r="D6089" t="inlineStr">
        <is>
          <t>VÄSTRA GÖTALANDS LÄN</t>
        </is>
      </c>
      <c r="E6089" t="inlineStr">
        <is>
          <t>BENGTSFORS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31778-2021</t>
        </is>
      </c>
      <c r="B6090" s="1" t="n">
        <v>44369</v>
      </c>
      <c r="C6090" s="1" t="n">
        <v>45586</v>
      </c>
      <c r="D6090" t="inlineStr">
        <is>
          <t>VÄSTRA GÖTALANDS LÄN</t>
        </is>
      </c>
      <c r="E6090" t="inlineStr">
        <is>
          <t>TANUM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31787-2021</t>
        </is>
      </c>
      <c r="B6091" s="1" t="n">
        <v>44370</v>
      </c>
      <c r="C6091" s="1" t="n">
        <v>45586</v>
      </c>
      <c r="D6091" t="inlineStr">
        <is>
          <t>VÄSTRA GÖTALANDS LÄN</t>
        </is>
      </c>
      <c r="E6091" t="inlineStr">
        <is>
          <t>MARK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31947-2021</t>
        </is>
      </c>
      <c r="B6092" s="1" t="n">
        <v>44370</v>
      </c>
      <c r="C6092" s="1" t="n">
        <v>45586</v>
      </c>
      <c r="D6092" t="inlineStr">
        <is>
          <t>VÄSTRA GÖTALANDS LÄN</t>
        </is>
      </c>
      <c r="E6092" t="inlineStr">
        <is>
          <t>BENGTSFORS</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32049-2021</t>
        </is>
      </c>
      <c r="B6093" s="1" t="n">
        <v>44370</v>
      </c>
      <c r="C6093" s="1" t="n">
        <v>45586</v>
      </c>
      <c r="D6093" t="inlineStr">
        <is>
          <t>VÄSTRA GÖTALANDS LÄN</t>
        </is>
      </c>
      <c r="E6093" t="inlineStr">
        <is>
          <t>TRANEMO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31987-2021</t>
        </is>
      </c>
      <c r="B6094" s="1" t="n">
        <v>44370</v>
      </c>
      <c r="C6094" s="1" t="n">
        <v>45586</v>
      </c>
      <c r="D6094" t="inlineStr">
        <is>
          <t>VÄSTRA GÖTALANDS LÄN</t>
        </is>
      </c>
      <c r="E6094" t="inlineStr">
        <is>
          <t>SKARA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31973-2021</t>
        </is>
      </c>
      <c r="B6095" s="1" t="n">
        <v>44370</v>
      </c>
      <c r="C6095" s="1" t="n">
        <v>45586</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31984-2021</t>
        </is>
      </c>
      <c r="B6096" s="1" t="n">
        <v>44370</v>
      </c>
      <c r="C6096" s="1" t="n">
        <v>45586</v>
      </c>
      <c r="D6096" t="inlineStr">
        <is>
          <t>VÄSTRA GÖTALANDS LÄN</t>
        </is>
      </c>
      <c r="E6096" t="inlineStr">
        <is>
          <t>SKARA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32017-2021</t>
        </is>
      </c>
      <c r="B6097" s="1" t="n">
        <v>44370</v>
      </c>
      <c r="C6097" s="1" t="n">
        <v>45586</v>
      </c>
      <c r="D6097" t="inlineStr">
        <is>
          <t>VÄSTRA GÖTALANDS LÄN</t>
        </is>
      </c>
      <c r="E6097" t="inlineStr">
        <is>
          <t>BOLLEBYGD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32014-2021</t>
        </is>
      </c>
      <c r="B6098" s="1" t="n">
        <v>44370</v>
      </c>
      <c r="C6098" s="1" t="n">
        <v>45586</v>
      </c>
      <c r="D6098" t="inlineStr">
        <is>
          <t>VÄSTRA GÖTALANDS LÄN</t>
        </is>
      </c>
      <c r="E6098" t="inlineStr">
        <is>
          <t>BOLLEBYGD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32067-2021</t>
        </is>
      </c>
      <c r="B6099" s="1" t="n">
        <v>44370</v>
      </c>
      <c r="C6099" s="1" t="n">
        <v>45586</v>
      </c>
      <c r="D6099" t="inlineStr">
        <is>
          <t>VÄSTRA GÖTALANDS LÄN</t>
        </is>
      </c>
      <c r="E6099" t="inlineStr">
        <is>
          <t>TANUM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32215-2021</t>
        </is>
      </c>
      <c r="B6100" s="1" t="n">
        <v>44371</v>
      </c>
      <c r="C6100" s="1" t="n">
        <v>45586</v>
      </c>
      <c r="D6100" t="inlineStr">
        <is>
          <t>VÄSTRA GÖTALANDS LÄN</t>
        </is>
      </c>
      <c r="E6100" t="inlineStr">
        <is>
          <t>MARIESTAD</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32161-2021</t>
        </is>
      </c>
      <c r="B6101" s="1" t="n">
        <v>44371</v>
      </c>
      <c r="C6101" s="1" t="n">
        <v>45586</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32167-2021</t>
        </is>
      </c>
      <c r="B6102" s="1" t="n">
        <v>44371</v>
      </c>
      <c r="C6102" s="1" t="n">
        <v>45586</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32212-2021</t>
        </is>
      </c>
      <c r="B6103" s="1" t="n">
        <v>44371</v>
      </c>
      <c r="C6103" s="1" t="n">
        <v>45586</v>
      </c>
      <c r="D6103" t="inlineStr">
        <is>
          <t>VÄSTRA GÖTALANDS LÄN</t>
        </is>
      </c>
      <c r="E6103" t="inlineStr">
        <is>
          <t>MARIESTAD</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32239-2021</t>
        </is>
      </c>
      <c r="B6104" s="1" t="n">
        <v>44371</v>
      </c>
      <c r="C6104" s="1" t="n">
        <v>45586</v>
      </c>
      <c r="D6104" t="inlineStr">
        <is>
          <t>VÄSTRA GÖTALANDS LÄN</t>
        </is>
      </c>
      <c r="E6104" t="inlineStr">
        <is>
          <t>BENGTSFORS</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32154-2021</t>
        </is>
      </c>
      <c r="B6105" s="1" t="n">
        <v>44371</v>
      </c>
      <c r="C6105" s="1" t="n">
        <v>45586</v>
      </c>
      <c r="D6105" t="inlineStr">
        <is>
          <t>VÄSTRA GÖTALANDS LÄN</t>
        </is>
      </c>
      <c r="E6105" t="inlineStr">
        <is>
          <t>MARK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32169-2021</t>
        </is>
      </c>
      <c r="B6106" s="1" t="n">
        <v>44371</v>
      </c>
      <c r="C6106" s="1" t="n">
        <v>45586</v>
      </c>
      <c r="D6106" t="inlineStr">
        <is>
          <t>VÄSTRA GÖTALANDS LÄN</t>
        </is>
      </c>
      <c r="E6106" t="inlineStr">
        <is>
          <t>MARIESTAD</t>
        </is>
      </c>
      <c r="F6106" t="inlineStr">
        <is>
          <t>Kyrkan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32213-2021</t>
        </is>
      </c>
      <c r="B6107" s="1" t="n">
        <v>44371</v>
      </c>
      <c r="C6107" s="1" t="n">
        <v>45586</v>
      </c>
      <c r="D6107" t="inlineStr">
        <is>
          <t>VÄSTRA GÖTALANDS LÄN</t>
        </is>
      </c>
      <c r="E6107" t="inlineStr">
        <is>
          <t>MARIESTAD</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32314-2021</t>
        </is>
      </c>
      <c r="B6108" s="1" t="n">
        <v>44371</v>
      </c>
      <c r="C6108" s="1" t="n">
        <v>45586</v>
      </c>
      <c r="D6108" t="inlineStr">
        <is>
          <t>VÄSTRA GÖTALANDS LÄN</t>
        </is>
      </c>
      <c r="E6108" t="inlineStr">
        <is>
          <t>KARLSBORG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32520-2021</t>
        </is>
      </c>
      <c r="B6109" s="1" t="n">
        <v>44374</v>
      </c>
      <c r="C6109" s="1" t="n">
        <v>45586</v>
      </c>
      <c r="D6109" t="inlineStr">
        <is>
          <t>VÄSTRA GÖTALANDS LÄN</t>
        </is>
      </c>
      <c r="E6109" t="inlineStr">
        <is>
          <t>ÅMÅL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32706-2021</t>
        </is>
      </c>
      <c r="B6110" s="1" t="n">
        <v>44375</v>
      </c>
      <c r="C6110" s="1" t="n">
        <v>45586</v>
      </c>
      <c r="D6110" t="inlineStr">
        <is>
          <t>VÄSTRA GÖTALANDS LÄN</t>
        </is>
      </c>
      <c r="E6110" t="inlineStr">
        <is>
          <t>SVENLJUNGA</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32660-2021</t>
        </is>
      </c>
      <c r="B6111" s="1" t="n">
        <v>44375</v>
      </c>
      <c r="C6111" s="1" t="n">
        <v>45586</v>
      </c>
      <c r="D6111" t="inlineStr">
        <is>
          <t>VÄSTRA GÖTALANDS LÄN</t>
        </is>
      </c>
      <c r="E6111" t="inlineStr">
        <is>
          <t>SVENLJUNGA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32700-2021</t>
        </is>
      </c>
      <c r="B6112" s="1" t="n">
        <v>44375</v>
      </c>
      <c r="C6112" s="1" t="n">
        <v>45586</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32716-2021</t>
        </is>
      </c>
      <c r="B6113" s="1" t="n">
        <v>44375</v>
      </c>
      <c r="C6113" s="1" t="n">
        <v>45586</v>
      </c>
      <c r="D6113" t="inlineStr">
        <is>
          <t>VÄSTRA GÖTALANDS LÄN</t>
        </is>
      </c>
      <c r="E6113" t="inlineStr">
        <is>
          <t>TRANEMO</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32743-2021</t>
        </is>
      </c>
      <c r="B6114" s="1" t="n">
        <v>44375</v>
      </c>
      <c r="C6114" s="1" t="n">
        <v>45586</v>
      </c>
      <c r="D6114" t="inlineStr">
        <is>
          <t>VÄSTRA GÖTALANDS LÄN</t>
        </is>
      </c>
      <c r="E6114" t="inlineStr">
        <is>
          <t>MARK</t>
        </is>
      </c>
      <c r="F6114" t="inlineStr">
        <is>
          <t>Kyrkan</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32771-2021</t>
        </is>
      </c>
      <c r="B6115" s="1" t="n">
        <v>44375</v>
      </c>
      <c r="C6115" s="1" t="n">
        <v>45586</v>
      </c>
      <c r="D6115" t="inlineStr">
        <is>
          <t>VÄSTRA GÖTALANDS LÄN</t>
        </is>
      </c>
      <c r="E6115" t="inlineStr">
        <is>
          <t>VARA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32780-2021</t>
        </is>
      </c>
      <c r="B6116" s="1" t="n">
        <v>44375</v>
      </c>
      <c r="C6116" s="1" t="n">
        <v>45586</v>
      </c>
      <c r="D6116" t="inlineStr">
        <is>
          <t>VÄSTRA GÖTALANDS LÄN</t>
        </is>
      </c>
      <c r="E6116" t="inlineStr">
        <is>
          <t>MARK</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32829-2021</t>
        </is>
      </c>
      <c r="B6117" s="1" t="n">
        <v>44375</v>
      </c>
      <c r="C6117" s="1" t="n">
        <v>45586</v>
      </c>
      <c r="D6117" t="inlineStr">
        <is>
          <t>VÄSTRA GÖTALANDS LÄN</t>
        </is>
      </c>
      <c r="E6117" t="inlineStr">
        <is>
          <t>TRANEMO</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32949-2021</t>
        </is>
      </c>
      <c r="B6118" s="1" t="n">
        <v>44375</v>
      </c>
      <c r="C6118" s="1" t="n">
        <v>45586</v>
      </c>
      <c r="D6118" t="inlineStr">
        <is>
          <t>VÄSTRA GÖTALANDS LÄN</t>
        </is>
      </c>
      <c r="E6118" t="inlineStr">
        <is>
          <t>STRÖMSTAD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32737-2021</t>
        </is>
      </c>
      <c r="B6119" s="1" t="n">
        <v>44375</v>
      </c>
      <c r="C6119" s="1" t="n">
        <v>45586</v>
      </c>
      <c r="D6119" t="inlineStr">
        <is>
          <t>VÄSTRA GÖTALANDS LÄN</t>
        </is>
      </c>
      <c r="E6119" t="inlineStr">
        <is>
          <t>KARLSBORG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32865-2021</t>
        </is>
      </c>
      <c r="B6120" s="1" t="n">
        <v>44375</v>
      </c>
      <c r="C6120" s="1" t="n">
        <v>45586</v>
      </c>
      <c r="D6120" t="inlineStr">
        <is>
          <t>VÄSTRA GÖTALANDS LÄN</t>
        </is>
      </c>
      <c r="E6120" t="inlineStr">
        <is>
          <t>GÖTENE</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32710-2021</t>
        </is>
      </c>
      <c r="B6121" s="1" t="n">
        <v>44375</v>
      </c>
      <c r="C6121" s="1" t="n">
        <v>45586</v>
      </c>
      <c r="D6121" t="inlineStr">
        <is>
          <t>VÄSTRA GÖTALANDS LÄN</t>
        </is>
      </c>
      <c r="E6121" t="inlineStr">
        <is>
          <t>TRANEMO</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32993-2021</t>
        </is>
      </c>
      <c r="B6122" s="1" t="n">
        <v>44376</v>
      </c>
      <c r="C6122" s="1" t="n">
        <v>45586</v>
      </c>
      <c r="D6122" t="inlineStr">
        <is>
          <t>VÄSTRA GÖTALANDS LÄN</t>
        </is>
      </c>
      <c r="E6122" t="inlineStr">
        <is>
          <t>ALINGSÅS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33020-2021</t>
        </is>
      </c>
      <c r="B6123" s="1" t="n">
        <v>44376</v>
      </c>
      <c r="C6123" s="1" t="n">
        <v>45586</v>
      </c>
      <c r="D6123" t="inlineStr">
        <is>
          <t>VÄSTRA GÖTALANDS LÄN</t>
        </is>
      </c>
      <c r="E6123" t="inlineStr">
        <is>
          <t>TRANEMO</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32946-2021</t>
        </is>
      </c>
      <c r="B6124" s="1" t="n">
        <v>44376</v>
      </c>
      <c r="C6124" s="1" t="n">
        <v>45586</v>
      </c>
      <c r="D6124" t="inlineStr">
        <is>
          <t>VÄSTRA GÖTALANDS LÄN</t>
        </is>
      </c>
      <c r="E6124" t="inlineStr">
        <is>
          <t>SVENLJUNGA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33092-2021</t>
        </is>
      </c>
      <c r="B6125" s="1" t="n">
        <v>44376</v>
      </c>
      <c r="C6125" s="1" t="n">
        <v>45586</v>
      </c>
      <c r="D6125" t="inlineStr">
        <is>
          <t>VÄSTRA GÖTALANDS LÄN</t>
        </is>
      </c>
      <c r="E6125" t="inlineStr">
        <is>
          <t>VARA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33114-2021</t>
        </is>
      </c>
      <c r="B6126" s="1" t="n">
        <v>44376</v>
      </c>
      <c r="C6126" s="1" t="n">
        <v>45586</v>
      </c>
      <c r="D6126" t="inlineStr">
        <is>
          <t>VÄSTRA GÖTALANDS LÄN</t>
        </is>
      </c>
      <c r="E6126" t="inlineStr">
        <is>
          <t>ÅMÅL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33123-2021</t>
        </is>
      </c>
      <c r="B6127" s="1" t="n">
        <v>44376</v>
      </c>
      <c r="C6127" s="1" t="n">
        <v>45586</v>
      </c>
      <c r="D6127" t="inlineStr">
        <is>
          <t>VÄSTRA GÖTALANDS LÄN</t>
        </is>
      </c>
      <c r="E6127" t="inlineStr">
        <is>
          <t>ÅMÅL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33190-2021</t>
        </is>
      </c>
      <c r="B6128" s="1" t="n">
        <v>44376</v>
      </c>
      <c r="C6128" s="1" t="n">
        <v>45586</v>
      </c>
      <c r="D6128" t="inlineStr">
        <is>
          <t>VÄSTRA GÖTALANDS LÄN</t>
        </is>
      </c>
      <c r="E6128" t="inlineStr">
        <is>
          <t>DALS-ED</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33285-2021</t>
        </is>
      </c>
      <c r="B6129" s="1" t="n">
        <v>44377</v>
      </c>
      <c r="C6129" s="1" t="n">
        <v>45586</v>
      </c>
      <c r="D6129" t="inlineStr">
        <is>
          <t>VÄSTRA GÖTALANDS LÄN</t>
        </is>
      </c>
      <c r="E6129" t="inlineStr">
        <is>
          <t>BENGTSFORS</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33326-2021</t>
        </is>
      </c>
      <c r="B6130" s="1" t="n">
        <v>44377</v>
      </c>
      <c r="C6130" s="1" t="n">
        <v>45586</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33376-2021</t>
        </is>
      </c>
      <c r="B6131" s="1" t="n">
        <v>44377</v>
      </c>
      <c r="C6131" s="1" t="n">
        <v>45586</v>
      </c>
      <c r="D6131" t="inlineStr">
        <is>
          <t>VÄSTRA GÖTALANDS LÄN</t>
        </is>
      </c>
      <c r="E6131" t="inlineStr">
        <is>
          <t>MARK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33399-2021</t>
        </is>
      </c>
      <c r="B6132" s="1" t="n">
        <v>44377</v>
      </c>
      <c r="C6132" s="1" t="n">
        <v>45586</v>
      </c>
      <c r="D6132" t="inlineStr">
        <is>
          <t>VÄSTRA GÖTALANDS LÄN</t>
        </is>
      </c>
      <c r="E6132" t="inlineStr">
        <is>
          <t>ESSUNGA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33258-2021</t>
        </is>
      </c>
      <c r="B6133" s="1" t="n">
        <v>44377</v>
      </c>
      <c r="C6133" s="1" t="n">
        <v>45586</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33259-2021</t>
        </is>
      </c>
      <c r="B6134" s="1" t="n">
        <v>44377</v>
      </c>
      <c r="C6134" s="1" t="n">
        <v>45586</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33300-2021</t>
        </is>
      </c>
      <c r="B6135" s="1" t="n">
        <v>44377</v>
      </c>
      <c r="C6135" s="1" t="n">
        <v>45586</v>
      </c>
      <c r="D6135" t="inlineStr">
        <is>
          <t>VÄSTRA GÖTALANDS LÄN</t>
        </is>
      </c>
      <c r="E6135" t="inlineStr">
        <is>
          <t>BORÅS</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33315-2021</t>
        </is>
      </c>
      <c r="B6136" s="1" t="n">
        <v>44377</v>
      </c>
      <c r="C6136" s="1" t="n">
        <v>45586</v>
      </c>
      <c r="D6136" t="inlineStr">
        <is>
          <t>VÄSTRA GÖTALANDS LÄN</t>
        </is>
      </c>
      <c r="E6136" t="inlineStr">
        <is>
          <t>TANUM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33332-2021</t>
        </is>
      </c>
      <c r="B6137" s="1" t="n">
        <v>44377</v>
      </c>
      <c r="C6137" s="1" t="n">
        <v>45586</v>
      </c>
      <c r="D6137" t="inlineStr">
        <is>
          <t>VÄSTRA GÖTALANDS LÄN</t>
        </is>
      </c>
      <c r="E6137" t="inlineStr">
        <is>
          <t>UDDEVALLA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33380-2021</t>
        </is>
      </c>
      <c r="B6138" s="1" t="n">
        <v>44377</v>
      </c>
      <c r="C6138" s="1" t="n">
        <v>45586</v>
      </c>
      <c r="D6138" t="inlineStr">
        <is>
          <t>VÄSTRA GÖTALANDS LÄN</t>
        </is>
      </c>
      <c r="E6138" t="inlineStr">
        <is>
          <t>BENGTSFORS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33244-2021</t>
        </is>
      </c>
      <c r="B6139" s="1" t="n">
        <v>44377</v>
      </c>
      <c r="C6139" s="1" t="n">
        <v>45586</v>
      </c>
      <c r="D6139" t="inlineStr">
        <is>
          <t>VÄSTRA GÖTALANDS LÄN</t>
        </is>
      </c>
      <c r="E6139" t="inlineStr">
        <is>
          <t>KUNGÄLV</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33493-2021</t>
        </is>
      </c>
      <c r="B6140" s="1" t="n">
        <v>44377</v>
      </c>
      <c r="C6140" s="1" t="n">
        <v>45586</v>
      </c>
      <c r="D6140" t="inlineStr">
        <is>
          <t>VÄSTRA GÖTALANDS LÄN</t>
        </is>
      </c>
      <c r="E6140" t="inlineStr">
        <is>
          <t>KUNGÄLV</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33513-2021</t>
        </is>
      </c>
      <c r="B6141" s="1" t="n">
        <v>44377</v>
      </c>
      <c r="C6141" s="1" t="n">
        <v>45586</v>
      </c>
      <c r="D6141" t="inlineStr">
        <is>
          <t>VÄSTRA GÖTALANDS LÄN</t>
        </is>
      </c>
      <c r="E6141" t="inlineStr">
        <is>
          <t>GULLSPÅNG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33455-2021</t>
        </is>
      </c>
      <c r="B6142" s="1" t="n">
        <v>44377</v>
      </c>
      <c r="C6142" s="1" t="n">
        <v>45586</v>
      </c>
      <c r="D6142" t="inlineStr">
        <is>
          <t>VÄSTRA GÖTALANDS LÄN</t>
        </is>
      </c>
      <c r="E6142" t="inlineStr">
        <is>
          <t>KUNGÄLV</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33511-2021</t>
        </is>
      </c>
      <c r="B6143" s="1" t="n">
        <v>44377</v>
      </c>
      <c r="C6143" s="1" t="n">
        <v>45586</v>
      </c>
      <c r="D6143" t="inlineStr">
        <is>
          <t>VÄSTRA GÖTALANDS LÄN</t>
        </is>
      </c>
      <c r="E6143" t="inlineStr">
        <is>
          <t>GULLSPÅNG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33527-2021</t>
        </is>
      </c>
      <c r="B6144" s="1" t="n">
        <v>44377</v>
      </c>
      <c r="C6144" s="1" t="n">
        <v>45586</v>
      </c>
      <c r="D6144" t="inlineStr">
        <is>
          <t>VÄSTRA GÖTALANDS LÄN</t>
        </is>
      </c>
      <c r="E6144" t="inlineStr">
        <is>
          <t>LILLA EDET</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33528-2021</t>
        </is>
      </c>
      <c r="B6145" s="1" t="n">
        <v>44377</v>
      </c>
      <c r="C6145" s="1" t="n">
        <v>45586</v>
      </c>
      <c r="D6145" t="inlineStr">
        <is>
          <t>VÄSTRA GÖTALANDS LÄN</t>
        </is>
      </c>
      <c r="E6145" t="inlineStr">
        <is>
          <t>LILLA EDET</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33496-2021</t>
        </is>
      </c>
      <c r="B6146" s="1" t="n">
        <v>44377</v>
      </c>
      <c r="C6146" s="1" t="n">
        <v>45586</v>
      </c>
      <c r="D6146" t="inlineStr">
        <is>
          <t>VÄSTRA GÖTALANDS LÄN</t>
        </is>
      </c>
      <c r="E6146" t="inlineStr">
        <is>
          <t>KUNGÄLV</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33526-2021</t>
        </is>
      </c>
      <c r="B6147" s="1" t="n">
        <v>44377</v>
      </c>
      <c r="C6147" s="1" t="n">
        <v>45586</v>
      </c>
      <c r="D6147" t="inlineStr">
        <is>
          <t>VÄSTRA GÖTALANDS LÄN</t>
        </is>
      </c>
      <c r="E6147" t="inlineStr">
        <is>
          <t>LILLA EDET</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33764-2021</t>
        </is>
      </c>
      <c r="B6148" s="1" t="n">
        <v>44378</v>
      </c>
      <c r="C6148" s="1" t="n">
        <v>45586</v>
      </c>
      <c r="D6148" t="inlineStr">
        <is>
          <t>VÄSTRA GÖTALANDS LÄN</t>
        </is>
      </c>
      <c r="E6148" t="inlineStr">
        <is>
          <t>ALINGSÅS</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33652-2021</t>
        </is>
      </c>
      <c r="B6149" s="1" t="n">
        <v>44378</v>
      </c>
      <c r="C6149" s="1" t="n">
        <v>45586</v>
      </c>
      <c r="D6149" t="inlineStr">
        <is>
          <t>VÄSTRA GÖTALANDS LÄN</t>
        </is>
      </c>
      <c r="E6149" t="inlineStr">
        <is>
          <t>ALINGSÅS</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33678-2021</t>
        </is>
      </c>
      <c r="B6150" s="1" t="n">
        <v>44378</v>
      </c>
      <c r="C6150" s="1" t="n">
        <v>45586</v>
      </c>
      <c r="D6150" t="inlineStr">
        <is>
          <t>VÄSTRA GÖTALANDS LÄN</t>
        </is>
      </c>
      <c r="E6150" t="inlineStr">
        <is>
          <t>VARA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33749-2021</t>
        </is>
      </c>
      <c r="B6151" s="1" t="n">
        <v>44378</v>
      </c>
      <c r="C6151" s="1" t="n">
        <v>45586</v>
      </c>
      <c r="D6151" t="inlineStr">
        <is>
          <t>VÄSTRA GÖTALANDS LÄN</t>
        </is>
      </c>
      <c r="E6151" t="inlineStr">
        <is>
          <t>GÖTEBORG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33587-2021</t>
        </is>
      </c>
      <c r="B6152" s="1" t="n">
        <v>44378</v>
      </c>
      <c r="C6152" s="1" t="n">
        <v>45586</v>
      </c>
      <c r="D6152" t="inlineStr">
        <is>
          <t>VÄSTRA GÖTALANDS LÄN</t>
        </is>
      </c>
      <c r="E6152" t="inlineStr">
        <is>
          <t>TROLLHÄTTAN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33769-2021</t>
        </is>
      </c>
      <c r="B6153" s="1" t="n">
        <v>44378</v>
      </c>
      <c r="C6153" s="1" t="n">
        <v>45586</v>
      </c>
      <c r="D6153" t="inlineStr">
        <is>
          <t>VÄSTRA GÖTALANDS LÄN</t>
        </is>
      </c>
      <c r="E6153" t="inlineStr">
        <is>
          <t>ALINGSÅS</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33685-2021</t>
        </is>
      </c>
      <c r="B6154" s="1" t="n">
        <v>44378</v>
      </c>
      <c r="C6154" s="1" t="n">
        <v>45586</v>
      </c>
      <c r="D6154" t="inlineStr">
        <is>
          <t>VÄSTRA GÖTALANDS LÄN</t>
        </is>
      </c>
      <c r="E6154" t="inlineStr">
        <is>
          <t>MARK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33693-2021</t>
        </is>
      </c>
      <c r="B6155" s="1" t="n">
        <v>44378</v>
      </c>
      <c r="C6155" s="1" t="n">
        <v>45586</v>
      </c>
      <c r="D6155" t="inlineStr">
        <is>
          <t>VÄSTRA GÖTALANDS LÄN</t>
        </is>
      </c>
      <c r="E6155" t="inlineStr">
        <is>
          <t>VARA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33822-2021</t>
        </is>
      </c>
      <c r="B6156" s="1" t="n">
        <v>44378</v>
      </c>
      <c r="C6156" s="1" t="n">
        <v>45586</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33784-2021</t>
        </is>
      </c>
      <c r="B6157" s="1" t="n">
        <v>44378</v>
      </c>
      <c r="C6157" s="1" t="n">
        <v>45586</v>
      </c>
      <c r="D6157" t="inlineStr">
        <is>
          <t>VÄSTRA GÖTALANDS LÄN</t>
        </is>
      </c>
      <c r="E6157" t="inlineStr">
        <is>
          <t>HERRLJUNGA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33902-2021</t>
        </is>
      </c>
      <c r="B6158" s="1" t="n">
        <v>44378</v>
      </c>
      <c r="C6158" s="1" t="n">
        <v>45586</v>
      </c>
      <c r="D6158" t="inlineStr">
        <is>
          <t>VÄSTRA GÖTALANDS LÄN</t>
        </is>
      </c>
      <c r="E6158" t="inlineStr">
        <is>
          <t>MELLERUD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33924-2021</t>
        </is>
      </c>
      <c r="B6159" s="1" t="n">
        <v>44378</v>
      </c>
      <c r="C6159" s="1" t="n">
        <v>45586</v>
      </c>
      <c r="D6159" t="inlineStr">
        <is>
          <t>VÄSTRA GÖTALANDS LÄN</t>
        </is>
      </c>
      <c r="E6159" t="inlineStr">
        <is>
          <t>FALKÖPING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33931-2021</t>
        </is>
      </c>
      <c r="B6160" s="1" t="n">
        <v>44378</v>
      </c>
      <c r="C6160" s="1" t="n">
        <v>45586</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33940-2021</t>
        </is>
      </c>
      <c r="B6161" s="1" t="n">
        <v>44378</v>
      </c>
      <c r="C6161" s="1" t="n">
        <v>45586</v>
      </c>
      <c r="D6161" t="inlineStr">
        <is>
          <t>VÄSTRA GÖTALANDS LÄN</t>
        </is>
      </c>
      <c r="E6161" t="inlineStr">
        <is>
          <t>SKARA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33836-2021</t>
        </is>
      </c>
      <c r="B6162" s="1" t="n">
        <v>44378</v>
      </c>
      <c r="C6162" s="1" t="n">
        <v>45586</v>
      </c>
      <c r="D6162" t="inlineStr">
        <is>
          <t>VÄSTRA GÖTALANDS LÄN</t>
        </is>
      </c>
      <c r="E6162" t="inlineStr">
        <is>
          <t>VARA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33923-2021</t>
        </is>
      </c>
      <c r="B6163" s="1" t="n">
        <v>44378</v>
      </c>
      <c r="C6163" s="1" t="n">
        <v>45586</v>
      </c>
      <c r="D6163" t="inlineStr">
        <is>
          <t>VÄSTRA GÖTALANDS LÄN</t>
        </is>
      </c>
      <c r="E6163" t="inlineStr">
        <is>
          <t>TANUM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33938-2021</t>
        </is>
      </c>
      <c r="B6164" s="1" t="n">
        <v>44378</v>
      </c>
      <c r="C6164" s="1" t="n">
        <v>45586</v>
      </c>
      <c r="D6164" t="inlineStr">
        <is>
          <t>VÄSTRA GÖTALANDS LÄN</t>
        </is>
      </c>
      <c r="E6164" t="inlineStr">
        <is>
          <t>SKARA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33925-2021</t>
        </is>
      </c>
      <c r="B6165" s="1" t="n">
        <v>44378</v>
      </c>
      <c r="C6165" s="1" t="n">
        <v>45586</v>
      </c>
      <c r="D6165" t="inlineStr">
        <is>
          <t>VÄSTRA GÖTALANDS LÄN</t>
        </is>
      </c>
      <c r="E6165" t="inlineStr">
        <is>
          <t>TANUM</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34030-2021</t>
        </is>
      </c>
      <c r="B6166" s="1" t="n">
        <v>44378</v>
      </c>
      <c r="C6166" s="1" t="n">
        <v>45586</v>
      </c>
      <c r="D6166" t="inlineStr">
        <is>
          <t>VÄSTRA GÖTALANDS LÄN</t>
        </is>
      </c>
      <c r="E6166" t="inlineStr">
        <is>
          <t>DALS-ED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34056-2021</t>
        </is>
      </c>
      <c r="B6167" s="1" t="n">
        <v>44379</v>
      </c>
      <c r="C6167" s="1" t="n">
        <v>45586</v>
      </c>
      <c r="D6167" t="inlineStr">
        <is>
          <t>VÄSTRA GÖTALANDS LÄN</t>
        </is>
      </c>
      <c r="E6167" t="inlineStr">
        <is>
          <t>BENGTSFORS</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34092-2021</t>
        </is>
      </c>
      <c r="B6168" s="1" t="n">
        <v>44379</v>
      </c>
      <c r="C6168" s="1" t="n">
        <v>45586</v>
      </c>
      <c r="D6168" t="inlineStr">
        <is>
          <t>VÄSTRA GÖTALANDS LÄN</t>
        </is>
      </c>
      <c r="E6168" t="inlineStr">
        <is>
          <t>BORÅS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34000-2021</t>
        </is>
      </c>
      <c r="B6169" s="1" t="n">
        <v>44379</v>
      </c>
      <c r="C6169" s="1" t="n">
        <v>45586</v>
      </c>
      <c r="D6169" t="inlineStr">
        <is>
          <t>VÄSTRA GÖTALANDS LÄN</t>
        </is>
      </c>
      <c r="E6169" t="inlineStr">
        <is>
          <t>GRÄSTORP</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34152-2021</t>
        </is>
      </c>
      <c r="B6170" s="1" t="n">
        <v>44379</v>
      </c>
      <c r="C6170" s="1" t="n">
        <v>45586</v>
      </c>
      <c r="D6170" t="inlineStr">
        <is>
          <t>VÄSTRA GÖTALANDS LÄN</t>
        </is>
      </c>
      <c r="E6170" t="inlineStr">
        <is>
          <t>MARK</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34168-2021</t>
        </is>
      </c>
      <c r="B6171" s="1" t="n">
        <v>44379</v>
      </c>
      <c r="C6171" s="1" t="n">
        <v>45586</v>
      </c>
      <c r="D6171" t="inlineStr">
        <is>
          <t>VÄSTRA GÖTALANDS LÄN</t>
        </is>
      </c>
      <c r="E6171" t="inlineStr">
        <is>
          <t>GULLSPÅNG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33996-2021</t>
        </is>
      </c>
      <c r="B6172" s="1" t="n">
        <v>44379</v>
      </c>
      <c r="C6172" s="1" t="n">
        <v>45586</v>
      </c>
      <c r="D6172" t="inlineStr">
        <is>
          <t>VÄSTRA GÖTALANDS LÄN</t>
        </is>
      </c>
      <c r="E6172" t="inlineStr">
        <is>
          <t>ESSUNGA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34145-2021</t>
        </is>
      </c>
      <c r="B6173" s="1" t="n">
        <v>44379</v>
      </c>
      <c r="C6173" s="1" t="n">
        <v>45586</v>
      </c>
      <c r="D6173" t="inlineStr">
        <is>
          <t>VÄSTRA GÖTALANDS LÄN</t>
        </is>
      </c>
      <c r="E6173" t="inlineStr">
        <is>
          <t>TÖREBODA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34149-2021</t>
        </is>
      </c>
      <c r="B6174" s="1" t="n">
        <v>44379</v>
      </c>
      <c r="C6174" s="1" t="n">
        <v>45586</v>
      </c>
      <c r="D6174" t="inlineStr">
        <is>
          <t>VÄSTRA GÖTALANDS LÄN</t>
        </is>
      </c>
      <c r="E6174" t="inlineStr">
        <is>
          <t>TÖREBODA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34365-2021</t>
        </is>
      </c>
      <c r="B6175" s="1" t="n">
        <v>44379</v>
      </c>
      <c r="C6175" s="1" t="n">
        <v>45586</v>
      </c>
      <c r="D6175" t="inlineStr">
        <is>
          <t>VÄSTRA GÖTALANDS LÄN</t>
        </is>
      </c>
      <c r="E6175" t="inlineStr">
        <is>
          <t>TROLLHÄTTAN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34380-2021</t>
        </is>
      </c>
      <c r="B6176" s="1" t="n">
        <v>44379</v>
      </c>
      <c r="C6176" s="1" t="n">
        <v>45586</v>
      </c>
      <c r="D6176" t="inlineStr">
        <is>
          <t>VÄSTRA GÖTALANDS LÄN</t>
        </is>
      </c>
      <c r="E6176" t="inlineStr">
        <is>
          <t>VÄNERSBORG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34179-2021</t>
        </is>
      </c>
      <c r="B6177" s="1" t="n">
        <v>44379</v>
      </c>
      <c r="C6177" s="1" t="n">
        <v>45586</v>
      </c>
      <c r="D6177" t="inlineStr">
        <is>
          <t>VÄSTRA GÖTALANDS LÄN</t>
        </is>
      </c>
      <c r="E6177" t="inlineStr">
        <is>
          <t>GULLSPÅNG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34423-2021</t>
        </is>
      </c>
      <c r="B6178" s="1" t="n">
        <v>44380</v>
      </c>
      <c r="C6178" s="1" t="n">
        <v>45586</v>
      </c>
      <c r="D6178" t="inlineStr">
        <is>
          <t>VÄSTRA GÖTALANDS LÄN</t>
        </is>
      </c>
      <c r="E6178" t="inlineStr">
        <is>
          <t>HERRLJUNGA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34422-2021</t>
        </is>
      </c>
      <c r="B6179" s="1" t="n">
        <v>44380</v>
      </c>
      <c r="C6179" s="1" t="n">
        <v>45586</v>
      </c>
      <c r="D6179" t="inlineStr">
        <is>
          <t>VÄSTRA GÖTALANDS LÄN</t>
        </is>
      </c>
      <c r="E6179" t="inlineStr">
        <is>
          <t>HERRLJUNGA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34490-2021</t>
        </is>
      </c>
      <c r="B6180" s="1" t="n">
        <v>44382</v>
      </c>
      <c r="C6180" s="1" t="n">
        <v>45586</v>
      </c>
      <c r="D6180" t="inlineStr">
        <is>
          <t>VÄSTRA GÖTALANDS LÄN</t>
        </is>
      </c>
      <c r="E6180" t="inlineStr">
        <is>
          <t>GÖTENE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34546-2021</t>
        </is>
      </c>
      <c r="B6181" s="1" t="n">
        <v>44382</v>
      </c>
      <c r="C6181" s="1" t="n">
        <v>45586</v>
      </c>
      <c r="D6181" t="inlineStr">
        <is>
          <t>VÄSTRA GÖTALANDS LÄN</t>
        </is>
      </c>
      <c r="E6181" t="inlineStr">
        <is>
          <t>VÅRGÅRDA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34582-2021</t>
        </is>
      </c>
      <c r="B6182" s="1" t="n">
        <v>44382</v>
      </c>
      <c r="C6182" s="1" t="n">
        <v>45586</v>
      </c>
      <c r="D6182" t="inlineStr">
        <is>
          <t>VÄSTRA GÖTALANDS LÄN</t>
        </is>
      </c>
      <c r="E6182" t="inlineStr">
        <is>
          <t>TIDAHOLM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34595-2021</t>
        </is>
      </c>
      <c r="B6183" s="1" t="n">
        <v>44382</v>
      </c>
      <c r="C6183" s="1" t="n">
        <v>45586</v>
      </c>
      <c r="D6183" t="inlineStr">
        <is>
          <t>VÄSTRA GÖTALANDS LÄN</t>
        </is>
      </c>
      <c r="E6183" t="inlineStr">
        <is>
          <t>VÄNERSBORG</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34579-2021</t>
        </is>
      </c>
      <c r="B6184" s="1" t="n">
        <v>44382</v>
      </c>
      <c r="C6184" s="1" t="n">
        <v>45586</v>
      </c>
      <c r="D6184" t="inlineStr">
        <is>
          <t>VÄSTRA GÖTALANDS LÄN</t>
        </is>
      </c>
      <c r="E6184" t="inlineStr">
        <is>
          <t>TIDAHOLM</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34588-2021</t>
        </is>
      </c>
      <c r="B6185" s="1" t="n">
        <v>44382</v>
      </c>
      <c r="C6185" s="1" t="n">
        <v>45586</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34593-2021</t>
        </is>
      </c>
      <c r="B6186" s="1" t="n">
        <v>44382</v>
      </c>
      <c r="C6186" s="1" t="n">
        <v>45586</v>
      </c>
      <c r="D6186" t="inlineStr">
        <is>
          <t>VÄSTRA GÖTALANDS LÄN</t>
        </is>
      </c>
      <c r="E6186" t="inlineStr">
        <is>
          <t>VÄNERSBORG</t>
        </is>
      </c>
      <c r="F6186" t="inlineStr">
        <is>
          <t>Sveaskog</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34659-2021</t>
        </is>
      </c>
      <c r="B6187" s="1" t="n">
        <v>44382</v>
      </c>
      <c r="C6187" s="1" t="n">
        <v>45586</v>
      </c>
      <c r="D6187" t="inlineStr">
        <is>
          <t>VÄSTRA GÖTALANDS LÄN</t>
        </is>
      </c>
      <c r="E6187" t="inlineStr">
        <is>
          <t>GULLSPÅNG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34531-2021</t>
        </is>
      </c>
      <c r="B6188" s="1" t="n">
        <v>44382</v>
      </c>
      <c r="C6188" s="1" t="n">
        <v>45586</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34573-2021</t>
        </is>
      </c>
      <c r="B6189" s="1" t="n">
        <v>44382</v>
      </c>
      <c r="C6189" s="1" t="n">
        <v>45586</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34584-2021</t>
        </is>
      </c>
      <c r="B6190" s="1" t="n">
        <v>44382</v>
      </c>
      <c r="C6190" s="1" t="n">
        <v>45586</v>
      </c>
      <c r="D6190" t="inlineStr">
        <is>
          <t>VÄSTRA GÖTALANDS LÄN</t>
        </is>
      </c>
      <c r="E6190" t="inlineStr">
        <is>
          <t>UDDEVALLA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34598-2021</t>
        </is>
      </c>
      <c r="B6191" s="1" t="n">
        <v>44382</v>
      </c>
      <c r="C6191" s="1" t="n">
        <v>45586</v>
      </c>
      <c r="D6191" t="inlineStr">
        <is>
          <t>VÄSTRA GÖTALANDS LÄN</t>
        </is>
      </c>
      <c r="E6191" t="inlineStr">
        <is>
          <t>VÄNERSBORG</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34611-2021</t>
        </is>
      </c>
      <c r="B6192" s="1" t="n">
        <v>44382</v>
      </c>
      <c r="C6192" s="1" t="n">
        <v>45586</v>
      </c>
      <c r="D6192" t="inlineStr">
        <is>
          <t>VÄSTRA GÖTALANDS LÄN</t>
        </is>
      </c>
      <c r="E6192" t="inlineStr">
        <is>
          <t>VÄNERSBORG</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34575-2021</t>
        </is>
      </c>
      <c r="B6193" s="1" t="n">
        <v>44382</v>
      </c>
      <c r="C6193" s="1" t="n">
        <v>45586</v>
      </c>
      <c r="D6193" t="inlineStr">
        <is>
          <t>VÄSTRA GÖTALANDS LÄN</t>
        </is>
      </c>
      <c r="E6193" t="inlineStr">
        <is>
          <t>TIDAHOLM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34592-2021</t>
        </is>
      </c>
      <c r="B6194" s="1" t="n">
        <v>44382</v>
      </c>
      <c r="C6194" s="1" t="n">
        <v>45586</v>
      </c>
      <c r="D6194" t="inlineStr">
        <is>
          <t>VÄSTRA GÖTALANDS LÄN</t>
        </is>
      </c>
      <c r="E6194" t="inlineStr">
        <is>
          <t>VÄNERSBORG</t>
        </is>
      </c>
      <c r="F6194" t="inlineStr">
        <is>
          <t>Sveaskog</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34613-2021</t>
        </is>
      </c>
      <c r="B6195" s="1" t="n">
        <v>44382</v>
      </c>
      <c r="C6195" s="1" t="n">
        <v>45586</v>
      </c>
      <c r="D6195" t="inlineStr">
        <is>
          <t>VÄSTRA GÖTALANDS LÄN</t>
        </is>
      </c>
      <c r="E6195" t="inlineStr">
        <is>
          <t>VÄNERSBORG</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34656-2021</t>
        </is>
      </c>
      <c r="B6196" s="1" t="n">
        <v>44382</v>
      </c>
      <c r="C6196" s="1" t="n">
        <v>45586</v>
      </c>
      <c r="D6196" t="inlineStr">
        <is>
          <t>VÄSTRA GÖTALANDS LÄN</t>
        </is>
      </c>
      <c r="E6196" t="inlineStr">
        <is>
          <t>SKARA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34760-2021</t>
        </is>
      </c>
      <c r="B6197" s="1" t="n">
        <v>44382</v>
      </c>
      <c r="C6197" s="1" t="n">
        <v>45586</v>
      </c>
      <c r="D6197" t="inlineStr">
        <is>
          <t>VÄSTRA GÖTALANDS LÄN</t>
        </is>
      </c>
      <c r="E6197" t="inlineStr">
        <is>
          <t>DALS-ED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34906-2021</t>
        </is>
      </c>
      <c r="B6198" s="1" t="n">
        <v>44382</v>
      </c>
      <c r="C6198" s="1" t="n">
        <v>45586</v>
      </c>
      <c r="D6198" t="inlineStr">
        <is>
          <t>VÄSTRA GÖTALANDS LÄN</t>
        </is>
      </c>
      <c r="E6198" t="inlineStr">
        <is>
          <t>BENGTSFORS</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34744-2021</t>
        </is>
      </c>
      <c r="B6199" s="1" t="n">
        <v>44382</v>
      </c>
      <c r="C6199" s="1" t="n">
        <v>45586</v>
      </c>
      <c r="D6199" t="inlineStr">
        <is>
          <t>VÄSTRA GÖTALANDS LÄN</t>
        </is>
      </c>
      <c r="E6199" t="inlineStr">
        <is>
          <t>SKÖVDE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34759-2021</t>
        </is>
      </c>
      <c r="B6200" s="1" t="n">
        <v>44382</v>
      </c>
      <c r="C6200" s="1" t="n">
        <v>45586</v>
      </c>
      <c r="D6200" t="inlineStr">
        <is>
          <t>VÄSTRA GÖTALANDS LÄN</t>
        </is>
      </c>
      <c r="E6200" t="inlineStr">
        <is>
          <t>TANUM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34658-2021</t>
        </is>
      </c>
      <c r="B6201" s="1" t="n">
        <v>44382</v>
      </c>
      <c r="C6201" s="1" t="n">
        <v>45586</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34863-2021</t>
        </is>
      </c>
      <c r="B6202" s="1" t="n">
        <v>44383</v>
      </c>
      <c r="C6202" s="1" t="n">
        <v>45586</v>
      </c>
      <c r="D6202" t="inlineStr">
        <is>
          <t>VÄSTRA GÖTALANDS LÄN</t>
        </is>
      </c>
      <c r="E6202" t="inlineStr">
        <is>
          <t>BENGTSFORS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34871-2021</t>
        </is>
      </c>
      <c r="B6203" s="1" t="n">
        <v>44383</v>
      </c>
      <c r="C6203" s="1" t="n">
        <v>45586</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34888-2021</t>
        </is>
      </c>
      <c r="B6204" s="1" t="n">
        <v>44383</v>
      </c>
      <c r="C6204" s="1" t="n">
        <v>45586</v>
      </c>
      <c r="D6204" t="inlineStr">
        <is>
          <t>VÄSTRA GÖTALANDS LÄN</t>
        </is>
      </c>
      <c r="E6204" t="inlineStr">
        <is>
          <t>TÖREBODA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34864-2021</t>
        </is>
      </c>
      <c r="B6205" s="1" t="n">
        <v>44383</v>
      </c>
      <c r="C6205" s="1" t="n">
        <v>45586</v>
      </c>
      <c r="D6205" t="inlineStr">
        <is>
          <t>VÄSTRA GÖTALANDS LÄN</t>
        </is>
      </c>
      <c r="E6205" t="inlineStr">
        <is>
          <t>MARIESTAD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35029-2021</t>
        </is>
      </c>
      <c r="B6206" s="1" t="n">
        <v>44383</v>
      </c>
      <c r="C6206" s="1" t="n">
        <v>45586</v>
      </c>
      <c r="D6206" t="inlineStr">
        <is>
          <t>VÄSTRA GÖTALANDS LÄN</t>
        </is>
      </c>
      <c r="E6206" t="inlineStr">
        <is>
          <t>TIDAHOLM</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35204-2021</t>
        </is>
      </c>
      <c r="B6207" s="1" t="n">
        <v>44383</v>
      </c>
      <c r="C6207" s="1" t="n">
        <v>45586</v>
      </c>
      <c r="D6207" t="inlineStr">
        <is>
          <t>VÄSTRA GÖTALANDS LÄN</t>
        </is>
      </c>
      <c r="E6207" t="inlineStr">
        <is>
          <t>FÄRGELANDA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35089-2021</t>
        </is>
      </c>
      <c r="B6208" s="1" t="n">
        <v>44383</v>
      </c>
      <c r="C6208" s="1" t="n">
        <v>45586</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34840-2021</t>
        </is>
      </c>
      <c r="B6209" s="1" t="n">
        <v>44383</v>
      </c>
      <c r="C6209" s="1" t="n">
        <v>45586</v>
      </c>
      <c r="D6209" t="inlineStr">
        <is>
          <t>VÄSTRA GÖTALANDS LÄN</t>
        </is>
      </c>
      <c r="E6209" t="inlineStr">
        <is>
          <t>STRÖMSTAD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35106-2021</t>
        </is>
      </c>
      <c r="B6210" s="1" t="n">
        <v>44384</v>
      </c>
      <c r="C6210" s="1" t="n">
        <v>45586</v>
      </c>
      <c r="D6210" t="inlineStr">
        <is>
          <t>VÄSTRA GÖTALANDS LÄN</t>
        </is>
      </c>
      <c r="E6210" t="inlineStr">
        <is>
          <t>GRÄSTORP</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35113-2021</t>
        </is>
      </c>
      <c r="B6211" s="1" t="n">
        <v>44384</v>
      </c>
      <c r="C6211" s="1" t="n">
        <v>45586</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35107-2021</t>
        </is>
      </c>
      <c r="B6212" s="1" t="n">
        <v>44384</v>
      </c>
      <c r="C6212" s="1" t="n">
        <v>45586</v>
      </c>
      <c r="D6212" t="inlineStr">
        <is>
          <t>VÄSTRA GÖTALANDS LÄN</t>
        </is>
      </c>
      <c r="E6212" t="inlineStr">
        <is>
          <t>GRÄSTORP</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35148-2021</t>
        </is>
      </c>
      <c r="B6213" s="1" t="n">
        <v>44384</v>
      </c>
      <c r="C6213" s="1" t="n">
        <v>45586</v>
      </c>
      <c r="D6213" t="inlineStr">
        <is>
          <t>VÄSTRA GÖTALANDS LÄN</t>
        </is>
      </c>
      <c r="E6213" t="inlineStr">
        <is>
          <t>ALE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35320-2021</t>
        </is>
      </c>
      <c r="B6214" s="1" t="n">
        <v>44384</v>
      </c>
      <c r="C6214" s="1" t="n">
        <v>45586</v>
      </c>
      <c r="D6214" t="inlineStr">
        <is>
          <t>VÄSTRA GÖTALANDS LÄN</t>
        </is>
      </c>
      <c r="E6214" t="inlineStr">
        <is>
          <t>STRÖMSTAD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35372-2021</t>
        </is>
      </c>
      <c r="B6215" s="1" t="n">
        <v>44384</v>
      </c>
      <c r="C6215" s="1" t="n">
        <v>45586</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35447-2021</t>
        </is>
      </c>
      <c r="B6216" s="1" t="n">
        <v>44385</v>
      </c>
      <c r="C6216" s="1" t="n">
        <v>45586</v>
      </c>
      <c r="D6216" t="inlineStr">
        <is>
          <t>VÄSTRA GÖTALANDS LÄN</t>
        </is>
      </c>
      <c r="E6216" t="inlineStr">
        <is>
          <t>FÄRGELANDA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35449-2021</t>
        </is>
      </c>
      <c r="B6217" s="1" t="n">
        <v>44385</v>
      </c>
      <c r="C6217" s="1" t="n">
        <v>45586</v>
      </c>
      <c r="D6217" t="inlineStr">
        <is>
          <t>VÄSTRA GÖTALANDS LÄN</t>
        </is>
      </c>
      <c r="E6217" t="inlineStr">
        <is>
          <t>MUNKEDAL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35501-2021</t>
        </is>
      </c>
      <c r="B6218" s="1" t="n">
        <v>44385</v>
      </c>
      <c r="C6218" s="1" t="n">
        <v>45586</v>
      </c>
      <c r="D6218" t="inlineStr">
        <is>
          <t>VÄSTRA GÖTALANDS LÄN</t>
        </is>
      </c>
      <c r="E6218" t="inlineStr">
        <is>
          <t>BENGTSFORS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35390-2021</t>
        </is>
      </c>
      <c r="B6219" s="1" t="n">
        <v>44385</v>
      </c>
      <c r="C6219" s="1" t="n">
        <v>45586</v>
      </c>
      <c r="D6219" t="inlineStr">
        <is>
          <t>VÄSTRA GÖTALANDS LÄN</t>
        </is>
      </c>
      <c r="E6219" t="inlineStr">
        <is>
          <t>ESSUNGA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35418-2021</t>
        </is>
      </c>
      <c r="B6220" s="1" t="n">
        <v>44385</v>
      </c>
      <c r="C6220" s="1" t="n">
        <v>45586</v>
      </c>
      <c r="D6220" t="inlineStr">
        <is>
          <t>VÄSTRA GÖTALANDS LÄN</t>
        </is>
      </c>
      <c r="E6220" t="inlineStr">
        <is>
          <t>MARK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35539-2021</t>
        </is>
      </c>
      <c r="B6221" s="1" t="n">
        <v>44385</v>
      </c>
      <c r="C6221" s="1" t="n">
        <v>45586</v>
      </c>
      <c r="D6221" t="inlineStr">
        <is>
          <t>VÄSTRA GÖTALANDS LÄN</t>
        </is>
      </c>
      <c r="E6221" t="inlineStr">
        <is>
          <t>FÄRGELANDA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35680-2021</t>
        </is>
      </c>
      <c r="B6222" s="1" t="n">
        <v>44385</v>
      </c>
      <c r="C6222" s="1" t="n">
        <v>45586</v>
      </c>
      <c r="D6222" t="inlineStr">
        <is>
          <t>VÄSTRA GÖTALANDS LÄN</t>
        </is>
      </c>
      <c r="E6222" t="inlineStr">
        <is>
          <t>BORÅS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35753-2021</t>
        </is>
      </c>
      <c r="B6223" s="1" t="n">
        <v>44385</v>
      </c>
      <c r="C6223" s="1" t="n">
        <v>45586</v>
      </c>
      <c r="D6223" t="inlineStr">
        <is>
          <t>VÄSTRA GÖTALANDS LÄN</t>
        </is>
      </c>
      <c r="E6223" t="inlineStr">
        <is>
          <t>BENGTSFORS</t>
        </is>
      </c>
      <c r="F6223" t="inlineStr">
        <is>
          <t>Kyrkan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35961-2021</t>
        </is>
      </c>
      <c r="B6224" s="1" t="n">
        <v>44385</v>
      </c>
      <c r="C6224" s="1" t="n">
        <v>45586</v>
      </c>
      <c r="D6224" t="inlineStr">
        <is>
          <t>VÄSTRA GÖTALANDS LÄN</t>
        </is>
      </c>
      <c r="E6224" t="inlineStr">
        <is>
          <t>TROLLHÄTTAN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36006-2021</t>
        </is>
      </c>
      <c r="B6225" s="1" t="n">
        <v>44385</v>
      </c>
      <c r="C6225" s="1" t="n">
        <v>45586</v>
      </c>
      <c r="D6225" t="inlineStr">
        <is>
          <t>VÄSTRA GÖTALANDS LÄN</t>
        </is>
      </c>
      <c r="E6225" t="inlineStr">
        <is>
          <t>SKÖVDE</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35684-2021</t>
        </is>
      </c>
      <c r="B6226" s="1" t="n">
        <v>44385</v>
      </c>
      <c r="C6226" s="1" t="n">
        <v>45586</v>
      </c>
      <c r="D6226" t="inlineStr">
        <is>
          <t>VÄSTRA GÖTALANDS LÄN</t>
        </is>
      </c>
      <c r="E6226" t="inlineStr">
        <is>
          <t>MARK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35771-2021</t>
        </is>
      </c>
      <c r="B6227" s="1" t="n">
        <v>44386</v>
      </c>
      <c r="C6227" s="1" t="n">
        <v>45586</v>
      </c>
      <c r="D6227" t="inlineStr">
        <is>
          <t>VÄSTRA GÖTALANDS LÄN</t>
        </is>
      </c>
      <c r="E6227" t="inlineStr">
        <is>
          <t>HJO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35810-2021</t>
        </is>
      </c>
      <c r="B6228" s="1" t="n">
        <v>44386</v>
      </c>
      <c r="C6228" s="1" t="n">
        <v>45586</v>
      </c>
      <c r="D6228" t="inlineStr">
        <is>
          <t>VÄSTRA GÖTALANDS LÄN</t>
        </is>
      </c>
      <c r="E6228" t="inlineStr">
        <is>
          <t>ORUST</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35622-2021</t>
        </is>
      </c>
      <c r="B6229" s="1" t="n">
        <v>44386</v>
      </c>
      <c r="C6229" s="1" t="n">
        <v>45586</v>
      </c>
      <c r="D6229" t="inlineStr">
        <is>
          <t>VÄSTRA GÖTALANDS LÄN</t>
        </is>
      </c>
      <c r="E6229" t="inlineStr">
        <is>
          <t>TANUM</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35673-2021</t>
        </is>
      </c>
      <c r="B6230" s="1" t="n">
        <v>44386</v>
      </c>
      <c r="C6230" s="1" t="n">
        <v>45586</v>
      </c>
      <c r="D6230" t="inlineStr">
        <is>
          <t>VÄSTRA GÖTALANDS LÄN</t>
        </is>
      </c>
      <c r="E6230" t="inlineStr">
        <is>
          <t>GULLSPÅNG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35709-2021</t>
        </is>
      </c>
      <c r="B6231" s="1" t="n">
        <v>44386</v>
      </c>
      <c r="C6231" s="1" t="n">
        <v>45586</v>
      </c>
      <c r="D6231" t="inlineStr">
        <is>
          <t>VÄSTRA GÖTALANDS LÄN</t>
        </is>
      </c>
      <c r="E6231" t="inlineStr">
        <is>
          <t>MELLERUD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35768-2021</t>
        </is>
      </c>
      <c r="B6232" s="1" t="n">
        <v>44386</v>
      </c>
      <c r="C6232" s="1" t="n">
        <v>45586</v>
      </c>
      <c r="D6232" t="inlineStr">
        <is>
          <t>VÄSTRA GÖTALANDS LÄN</t>
        </is>
      </c>
      <c r="E6232" t="inlineStr">
        <is>
          <t>SKARA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35672-2021</t>
        </is>
      </c>
      <c r="B6233" s="1" t="n">
        <v>44386</v>
      </c>
      <c r="C6233" s="1" t="n">
        <v>45586</v>
      </c>
      <c r="D6233" t="inlineStr">
        <is>
          <t>VÄSTRA GÖTALANDS LÄN</t>
        </is>
      </c>
      <c r="E6233" t="inlineStr">
        <is>
          <t>GULLSPÅNG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35765-2021</t>
        </is>
      </c>
      <c r="B6234" s="1" t="n">
        <v>44386</v>
      </c>
      <c r="C6234" s="1" t="n">
        <v>45586</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36038-2021</t>
        </is>
      </c>
      <c r="B6235" s="1" t="n">
        <v>44386</v>
      </c>
      <c r="C6235" s="1" t="n">
        <v>45586</v>
      </c>
      <c r="D6235" t="inlineStr">
        <is>
          <t>VÄSTRA GÖTALANDS LÄN</t>
        </is>
      </c>
      <c r="E6235" t="inlineStr">
        <is>
          <t>MARIESTAD</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35824-2021</t>
        </is>
      </c>
      <c r="B6236" s="1" t="n">
        <v>44386</v>
      </c>
      <c r="C6236" s="1" t="n">
        <v>45586</v>
      </c>
      <c r="D6236" t="inlineStr">
        <is>
          <t>VÄSTRA GÖTALANDS LÄN</t>
        </is>
      </c>
      <c r="E6236" t="inlineStr">
        <is>
          <t>BOLLEBYGD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35761-2021</t>
        </is>
      </c>
      <c r="B6237" s="1" t="n">
        <v>44386</v>
      </c>
      <c r="C6237" s="1" t="n">
        <v>45586</v>
      </c>
      <c r="D6237" t="inlineStr">
        <is>
          <t>VÄSTRA GÖTALANDS LÄN</t>
        </is>
      </c>
      <c r="E6237" t="inlineStr">
        <is>
          <t>FÄRGELANDA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35776-2021</t>
        </is>
      </c>
      <c r="B6238" s="1" t="n">
        <v>44386</v>
      </c>
      <c r="C6238" s="1" t="n">
        <v>45586</v>
      </c>
      <c r="D6238" t="inlineStr">
        <is>
          <t>VÄSTRA GÖTALANDS LÄN</t>
        </is>
      </c>
      <c r="E6238" t="inlineStr">
        <is>
          <t>SKÖVDE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36167-2021</t>
        </is>
      </c>
      <c r="B6239" s="1" t="n">
        <v>44386</v>
      </c>
      <c r="C6239" s="1" t="n">
        <v>45586</v>
      </c>
      <c r="D6239" t="inlineStr">
        <is>
          <t>VÄSTRA GÖTALANDS LÄN</t>
        </is>
      </c>
      <c r="E6239" t="inlineStr">
        <is>
          <t>DALS-ED</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36032-2021</t>
        </is>
      </c>
      <c r="B6240" s="1" t="n">
        <v>44386</v>
      </c>
      <c r="C6240" s="1" t="n">
        <v>45586</v>
      </c>
      <c r="D6240" t="inlineStr">
        <is>
          <t>VÄSTRA GÖTALANDS LÄN</t>
        </is>
      </c>
      <c r="E6240" t="inlineStr">
        <is>
          <t>MARIESTAD</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35897-2021</t>
        </is>
      </c>
      <c r="B6241" s="1" t="n">
        <v>44387</v>
      </c>
      <c r="C6241" s="1" t="n">
        <v>45586</v>
      </c>
      <c r="D6241" t="inlineStr">
        <is>
          <t>VÄSTRA GÖTALANDS LÄN</t>
        </is>
      </c>
      <c r="E6241" t="inlineStr">
        <is>
          <t>FÄRGELANDA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36158-2021</t>
        </is>
      </c>
      <c r="B6242" s="1" t="n">
        <v>44387</v>
      </c>
      <c r="C6242" s="1" t="n">
        <v>45586</v>
      </c>
      <c r="D6242" t="inlineStr">
        <is>
          <t>VÄSTRA GÖTALANDS LÄN</t>
        </is>
      </c>
      <c r="E6242" t="inlineStr">
        <is>
          <t>TIDAHOLM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35927-2021</t>
        </is>
      </c>
      <c r="B6243" s="1" t="n">
        <v>44388</v>
      </c>
      <c r="C6243" s="1" t="n">
        <v>45586</v>
      </c>
      <c r="D6243" t="inlineStr">
        <is>
          <t>VÄSTRA GÖTALANDS LÄN</t>
        </is>
      </c>
      <c r="E6243" t="inlineStr">
        <is>
          <t>STENUNGSUND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35948-2021</t>
        </is>
      </c>
      <c r="B6244" s="1" t="n">
        <v>44388</v>
      </c>
      <c r="C6244" s="1" t="n">
        <v>45586</v>
      </c>
      <c r="D6244" t="inlineStr">
        <is>
          <t>VÄSTRA GÖTALANDS LÄN</t>
        </is>
      </c>
      <c r="E6244" t="inlineStr">
        <is>
          <t>DALS-ED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35968-2021</t>
        </is>
      </c>
      <c r="B6245" s="1" t="n">
        <v>44389</v>
      </c>
      <c r="C6245" s="1" t="n">
        <v>45586</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35991-2021</t>
        </is>
      </c>
      <c r="B6246" s="1" t="n">
        <v>44389</v>
      </c>
      <c r="C6246" s="1" t="n">
        <v>45586</v>
      </c>
      <c r="D6246" t="inlineStr">
        <is>
          <t>VÄSTRA GÖTALANDS LÄN</t>
        </is>
      </c>
      <c r="E6246" t="inlineStr">
        <is>
          <t>VÅRGÅRDA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36075-2021</t>
        </is>
      </c>
      <c r="B6247" s="1" t="n">
        <v>44389</v>
      </c>
      <c r="C6247" s="1" t="n">
        <v>45586</v>
      </c>
      <c r="D6247" t="inlineStr">
        <is>
          <t>VÄSTRA GÖTALANDS LÄN</t>
        </is>
      </c>
      <c r="E6247" t="inlineStr">
        <is>
          <t>MELLERUD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36096-2021</t>
        </is>
      </c>
      <c r="B6248" s="1" t="n">
        <v>44389</v>
      </c>
      <c r="C6248" s="1" t="n">
        <v>45586</v>
      </c>
      <c r="D6248" t="inlineStr">
        <is>
          <t>VÄSTRA GÖTALANDS LÄN</t>
        </is>
      </c>
      <c r="E6248" t="inlineStr">
        <is>
          <t>MELLERUD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36106-2021</t>
        </is>
      </c>
      <c r="B6249" s="1" t="n">
        <v>44389</v>
      </c>
      <c r="C6249" s="1" t="n">
        <v>45586</v>
      </c>
      <c r="D6249" t="inlineStr">
        <is>
          <t>VÄSTRA GÖTALANDS LÄN</t>
        </is>
      </c>
      <c r="E6249" t="inlineStr">
        <is>
          <t>ALINGSÅS</t>
        </is>
      </c>
      <c r="F6249" t="inlineStr">
        <is>
          <t>Allmännings- och besparingsskogar</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36120-2021</t>
        </is>
      </c>
      <c r="B6250" s="1" t="n">
        <v>44389</v>
      </c>
      <c r="C6250" s="1" t="n">
        <v>45586</v>
      </c>
      <c r="D6250" t="inlineStr">
        <is>
          <t>VÄSTRA GÖTALANDS LÄN</t>
        </is>
      </c>
      <c r="E6250" t="inlineStr">
        <is>
          <t>ALINGSÅS</t>
        </is>
      </c>
      <c r="F6250" t="inlineStr">
        <is>
          <t>Allmännings- och besparingsskogar</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36164-2021</t>
        </is>
      </c>
      <c r="B6251" s="1" t="n">
        <v>44389</v>
      </c>
      <c r="C6251" s="1" t="n">
        <v>45586</v>
      </c>
      <c r="D6251" t="inlineStr">
        <is>
          <t>VÄSTRA GÖTALANDS LÄN</t>
        </is>
      </c>
      <c r="E6251" t="inlineStr">
        <is>
          <t>MELLERUD</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35987-2021</t>
        </is>
      </c>
      <c r="B6252" s="1" t="n">
        <v>44389</v>
      </c>
      <c r="C6252" s="1" t="n">
        <v>45586</v>
      </c>
      <c r="D6252" t="inlineStr">
        <is>
          <t>VÄSTRA GÖTALANDS LÄN</t>
        </is>
      </c>
      <c r="E6252" t="inlineStr">
        <is>
          <t>TANUM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36224-2021</t>
        </is>
      </c>
      <c r="B6253" s="1" t="n">
        <v>44389</v>
      </c>
      <c r="C6253" s="1" t="n">
        <v>45586</v>
      </c>
      <c r="D6253" t="inlineStr">
        <is>
          <t>VÄSTRA GÖTALANDS LÄN</t>
        </is>
      </c>
      <c r="E6253" t="inlineStr">
        <is>
          <t>BORÅS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36394-2021</t>
        </is>
      </c>
      <c r="B6254" s="1" t="n">
        <v>44389</v>
      </c>
      <c r="C6254" s="1" t="n">
        <v>45586</v>
      </c>
      <c r="D6254" t="inlineStr">
        <is>
          <t>VÄSTRA GÖTALANDS LÄN</t>
        </is>
      </c>
      <c r="E6254" t="inlineStr">
        <is>
          <t>ALE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36076-2021</t>
        </is>
      </c>
      <c r="B6255" s="1" t="n">
        <v>44389</v>
      </c>
      <c r="C6255" s="1" t="n">
        <v>45586</v>
      </c>
      <c r="D6255" t="inlineStr">
        <is>
          <t>VÄSTRA GÖTALANDS LÄN</t>
        </is>
      </c>
      <c r="E6255" t="inlineStr">
        <is>
          <t>MELLERUD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36299-2021</t>
        </is>
      </c>
      <c r="B6256" s="1" t="n">
        <v>44390</v>
      </c>
      <c r="C6256" s="1" t="n">
        <v>45586</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36495-2021</t>
        </is>
      </c>
      <c r="B6257" s="1" t="n">
        <v>44390</v>
      </c>
      <c r="C6257" s="1" t="n">
        <v>45586</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36511-2021</t>
        </is>
      </c>
      <c r="B6258" s="1" t="n">
        <v>44391</v>
      </c>
      <c r="C6258" s="1" t="n">
        <v>45586</v>
      </c>
      <c r="D6258" t="inlineStr">
        <is>
          <t>VÄSTRA GÖTALANDS LÄN</t>
        </is>
      </c>
      <c r="E6258" t="inlineStr">
        <is>
          <t>TANUM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36598-2021</t>
        </is>
      </c>
      <c r="B6259" s="1" t="n">
        <v>44391</v>
      </c>
      <c r="C6259" s="1" t="n">
        <v>45586</v>
      </c>
      <c r="D6259" t="inlineStr">
        <is>
          <t>VÄSTRA GÖTALANDS LÄN</t>
        </is>
      </c>
      <c r="E6259" t="inlineStr">
        <is>
          <t>SKÖVDE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36606-2021</t>
        </is>
      </c>
      <c r="B6260" s="1" t="n">
        <v>44391</v>
      </c>
      <c r="C6260" s="1" t="n">
        <v>45586</v>
      </c>
      <c r="D6260" t="inlineStr">
        <is>
          <t>VÄSTRA GÖTALANDS LÄN</t>
        </is>
      </c>
      <c r="E6260" t="inlineStr">
        <is>
          <t>SVENLJUNGA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36623-2021</t>
        </is>
      </c>
      <c r="B6261" s="1" t="n">
        <v>44391</v>
      </c>
      <c r="C6261" s="1" t="n">
        <v>45586</v>
      </c>
      <c r="D6261" t="inlineStr">
        <is>
          <t>VÄSTRA GÖTALANDS LÄN</t>
        </is>
      </c>
      <c r="E6261" t="inlineStr">
        <is>
          <t>ULRICEHAMN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36560-2021</t>
        </is>
      </c>
      <c r="B6262" s="1" t="n">
        <v>44391</v>
      </c>
      <c r="C6262" s="1" t="n">
        <v>45586</v>
      </c>
      <c r="D6262" t="inlineStr">
        <is>
          <t>VÄSTRA GÖTALANDS LÄN</t>
        </is>
      </c>
      <c r="E6262" t="inlineStr">
        <is>
          <t>ULRICEHAMN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36685-2021</t>
        </is>
      </c>
      <c r="B6263" s="1" t="n">
        <v>44392</v>
      </c>
      <c r="C6263" s="1" t="n">
        <v>45586</v>
      </c>
      <c r="D6263" t="inlineStr">
        <is>
          <t>VÄSTRA GÖTALANDS LÄN</t>
        </is>
      </c>
      <c r="E6263" t="inlineStr">
        <is>
          <t>TIDAHOLM</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36708-2021</t>
        </is>
      </c>
      <c r="B6264" s="1" t="n">
        <v>44392</v>
      </c>
      <c r="C6264" s="1" t="n">
        <v>45586</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36762-2021</t>
        </is>
      </c>
      <c r="B6265" s="1" t="n">
        <v>44392</v>
      </c>
      <c r="C6265" s="1" t="n">
        <v>45586</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36791-2021</t>
        </is>
      </c>
      <c r="B6266" s="1" t="n">
        <v>44392</v>
      </c>
      <c r="C6266" s="1" t="n">
        <v>45586</v>
      </c>
      <c r="D6266" t="inlineStr">
        <is>
          <t>VÄSTRA GÖTALANDS LÄN</t>
        </is>
      </c>
      <c r="E6266" t="inlineStr">
        <is>
          <t>TANUM</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36741-2021</t>
        </is>
      </c>
      <c r="B6267" s="1" t="n">
        <v>44392</v>
      </c>
      <c r="C6267" s="1" t="n">
        <v>45586</v>
      </c>
      <c r="D6267" t="inlineStr">
        <is>
          <t>VÄSTRA GÖTALANDS LÄN</t>
        </is>
      </c>
      <c r="E6267" t="inlineStr">
        <is>
          <t>HÄRRYDA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36756-2021</t>
        </is>
      </c>
      <c r="B6268" s="1" t="n">
        <v>44392</v>
      </c>
      <c r="C6268" s="1" t="n">
        <v>45586</v>
      </c>
      <c r="D6268" t="inlineStr">
        <is>
          <t>VÄSTRA GÖTALANDS LÄN</t>
        </is>
      </c>
      <c r="E6268" t="inlineStr">
        <is>
          <t>LIDKÖPING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36789-2021</t>
        </is>
      </c>
      <c r="B6269" s="1" t="n">
        <v>44392</v>
      </c>
      <c r="C6269" s="1" t="n">
        <v>45586</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36881-2021</t>
        </is>
      </c>
      <c r="B6270" s="1" t="n">
        <v>44393</v>
      </c>
      <c r="C6270" s="1" t="n">
        <v>45586</v>
      </c>
      <c r="D6270" t="inlineStr">
        <is>
          <t>VÄSTRA GÖTALANDS LÄN</t>
        </is>
      </c>
      <c r="E6270" t="inlineStr">
        <is>
          <t>ULRICEHAMN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36887-2021</t>
        </is>
      </c>
      <c r="B6271" s="1" t="n">
        <v>44393</v>
      </c>
      <c r="C6271" s="1" t="n">
        <v>45586</v>
      </c>
      <c r="D6271" t="inlineStr">
        <is>
          <t>VÄSTRA GÖTALANDS LÄN</t>
        </is>
      </c>
      <c r="E6271" t="inlineStr">
        <is>
          <t>ULRICEHAMN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36979-2021</t>
        </is>
      </c>
      <c r="B6272" s="1" t="n">
        <v>44393</v>
      </c>
      <c r="C6272" s="1" t="n">
        <v>45586</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36888-2021</t>
        </is>
      </c>
      <c r="B6273" s="1" t="n">
        <v>44393</v>
      </c>
      <c r="C6273" s="1" t="n">
        <v>45586</v>
      </c>
      <c r="D6273" t="inlineStr">
        <is>
          <t>VÄSTRA GÖTALANDS LÄN</t>
        </is>
      </c>
      <c r="E6273" t="inlineStr">
        <is>
          <t>ULRICEHAMN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36934-2021</t>
        </is>
      </c>
      <c r="B6274" s="1" t="n">
        <v>44393</v>
      </c>
      <c r="C6274" s="1" t="n">
        <v>45586</v>
      </c>
      <c r="D6274" t="inlineStr">
        <is>
          <t>VÄSTRA GÖTALANDS LÄN</t>
        </is>
      </c>
      <c r="E6274" t="inlineStr">
        <is>
          <t>BORÅS</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36976-2021</t>
        </is>
      </c>
      <c r="B6275" s="1" t="n">
        <v>44393</v>
      </c>
      <c r="C6275" s="1" t="n">
        <v>45586</v>
      </c>
      <c r="D6275" t="inlineStr">
        <is>
          <t>VÄSTRA GÖTALANDS LÄN</t>
        </is>
      </c>
      <c r="E6275" t="inlineStr">
        <is>
          <t>MARK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36988-2021</t>
        </is>
      </c>
      <c r="B6276" s="1" t="n">
        <v>44393</v>
      </c>
      <c r="C6276" s="1" t="n">
        <v>45586</v>
      </c>
      <c r="D6276" t="inlineStr">
        <is>
          <t>VÄSTRA GÖTALANDS LÄN</t>
        </is>
      </c>
      <c r="E6276" t="inlineStr">
        <is>
          <t>BENGTSFORS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37038-2021</t>
        </is>
      </c>
      <c r="B6277" s="1" t="n">
        <v>44393</v>
      </c>
      <c r="C6277" s="1" t="n">
        <v>45586</v>
      </c>
      <c r="D6277" t="inlineStr">
        <is>
          <t>VÄSTRA GÖTALANDS LÄN</t>
        </is>
      </c>
      <c r="E6277" t="inlineStr">
        <is>
          <t>TRANEMO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37039-2021</t>
        </is>
      </c>
      <c r="B6278" s="1" t="n">
        <v>44393</v>
      </c>
      <c r="C6278" s="1" t="n">
        <v>45586</v>
      </c>
      <c r="D6278" t="inlineStr">
        <is>
          <t>VÄSTRA GÖTALANDS LÄN</t>
        </is>
      </c>
      <c r="E6278" t="inlineStr">
        <is>
          <t>TRANEMO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37067-2021</t>
        </is>
      </c>
      <c r="B6279" s="1" t="n">
        <v>44394</v>
      </c>
      <c r="C6279" s="1" t="n">
        <v>45586</v>
      </c>
      <c r="D6279" t="inlineStr">
        <is>
          <t>VÄSTRA GÖTALANDS LÄN</t>
        </is>
      </c>
      <c r="E6279" t="inlineStr">
        <is>
          <t>GÖTEBORG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37137-2021</t>
        </is>
      </c>
      <c r="B6280" s="1" t="n">
        <v>44395</v>
      </c>
      <c r="C6280" s="1" t="n">
        <v>45586</v>
      </c>
      <c r="D6280" t="inlineStr">
        <is>
          <t>VÄSTRA GÖTALANDS LÄN</t>
        </is>
      </c>
      <c r="E6280" t="inlineStr">
        <is>
          <t>TANUM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37130-2021</t>
        </is>
      </c>
      <c r="B6281" s="1" t="n">
        <v>44395</v>
      </c>
      <c r="C6281" s="1" t="n">
        <v>45586</v>
      </c>
      <c r="D6281" t="inlineStr">
        <is>
          <t>VÄSTRA GÖTALANDS LÄN</t>
        </is>
      </c>
      <c r="E6281" t="inlineStr">
        <is>
          <t>TANUM</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37152-2021</t>
        </is>
      </c>
      <c r="B6282" s="1" t="n">
        <v>44396</v>
      </c>
      <c r="C6282" s="1" t="n">
        <v>45586</v>
      </c>
      <c r="D6282" t="inlineStr">
        <is>
          <t>VÄSTRA GÖTALANDS LÄN</t>
        </is>
      </c>
      <c r="E6282" t="inlineStr">
        <is>
          <t>HERRLJUNGA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37243-2021</t>
        </is>
      </c>
      <c r="B6283" s="1" t="n">
        <v>44396</v>
      </c>
      <c r="C6283" s="1" t="n">
        <v>45586</v>
      </c>
      <c r="D6283" t="inlineStr">
        <is>
          <t>VÄSTRA GÖTALANDS LÄN</t>
        </is>
      </c>
      <c r="E6283" t="inlineStr">
        <is>
          <t>TIBRO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37240-2021</t>
        </is>
      </c>
      <c r="B6284" s="1" t="n">
        <v>44396</v>
      </c>
      <c r="C6284" s="1" t="n">
        <v>45586</v>
      </c>
      <c r="D6284" t="inlineStr">
        <is>
          <t>VÄSTRA GÖTALANDS LÄN</t>
        </is>
      </c>
      <c r="E6284" t="inlineStr">
        <is>
          <t>TRANEMO</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37242-2021</t>
        </is>
      </c>
      <c r="B6285" s="1" t="n">
        <v>44396</v>
      </c>
      <c r="C6285" s="1" t="n">
        <v>45586</v>
      </c>
      <c r="D6285" t="inlineStr">
        <is>
          <t>VÄSTRA GÖTALANDS LÄN</t>
        </is>
      </c>
      <c r="E6285" t="inlineStr">
        <is>
          <t>TIBRO</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37241-2021</t>
        </is>
      </c>
      <c r="B6286" s="1" t="n">
        <v>44396</v>
      </c>
      <c r="C6286" s="1" t="n">
        <v>45586</v>
      </c>
      <c r="D6286" t="inlineStr">
        <is>
          <t>VÄSTRA GÖTALANDS LÄN</t>
        </is>
      </c>
      <c r="E6286" t="inlineStr">
        <is>
          <t>TIBRO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37256-2021</t>
        </is>
      </c>
      <c r="B6287" s="1" t="n">
        <v>44397</v>
      </c>
      <c r="C6287" s="1" t="n">
        <v>45586</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37257-2021</t>
        </is>
      </c>
      <c r="B6288" s="1" t="n">
        <v>44397</v>
      </c>
      <c r="C6288" s="1" t="n">
        <v>45586</v>
      </c>
      <c r="D6288" t="inlineStr">
        <is>
          <t>VÄSTRA GÖTALANDS LÄN</t>
        </is>
      </c>
      <c r="E6288" t="inlineStr">
        <is>
          <t>MARK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37317-2021</t>
        </is>
      </c>
      <c r="B6289" s="1" t="n">
        <v>44397</v>
      </c>
      <c r="C6289" s="1" t="n">
        <v>45586</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37377-2021</t>
        </is>
      </c>
      <c r="B6290" s="1" t="n">
        <v>44398</v>
      </c>
      <c r="C6290" s="1" t="n">
        <v>45586</v>
      </c>
      <c r="D6290" t="inlineStr">
        <is>
          <t>VÄSTRA GÖTALANDS LÄN</t>
        </is>
      </c>
      <c r="E6290" t="inlineStr">
        <is>
          <t>ESSUNGA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37424-2021</t>
        </is>
      </c>
      <c r="B6291" s="1" t="n">
        <v>44398</v>
      </c>
      <c r="C6291" s="1" t="n">
        <v>45586</v>
      </c>
      <c r="D6291" t="inlineStr">
        <is>
          <t>VÄSTRA GÖTALANDS LÄN</t>
        </is>
      </c>
      <c r="E6291" t="inlineStr">
        <is>
          <t>VÅRGÅRDA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37398-2021</t>
        </is>
      </c>
      <c r="B6292" s="1" t="n">
        <v>44398</v>
      </c>
      <c r="C6292" s="1" t="n">
        <v>45586</v>
      </c>
      <c r="D6292" t="inlineStr">
        <is>
          <t>VÄSTRA GÖTALANDS LÄN</t>
        </is>
      </c>
      <c r="E6292" t="inlineStr">
        <is>
          <t>TIDAHOLM</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37412-2021</t>
        </is>
      </c>
      <c r="B6293" s="1" t="n">
        <v>44398</v>
      </c>
      <c r="C6293" s="1" t="n">
        <v>45586</v>
      </c>
      <c r="D6293" t="inlineStr">
        <is>
          <t>VÄSTRA GÖTALANDS LÄN</t>
        </is>
      </c>
      <c r="E6293" t="inlineStr">
        <is>
          <t>ESSUNGA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37425-2021</t>
        </is>
      </c>
      <c r="B6294" s="1" t="n">
        <v>44398</v>
      </c>
      <c r="C6294" s="1" t="n">
        <v>45586</v>
      </c>
      <c r="D6294" t="inlineStr">
        <is>
          <t>VÄSTRA GÖTALANDS LÄN</t>
        </is>
      </c>
      <c r="E6294" t="inlineStr">
        <is>
          <t>ALINGSÅS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37492-2021</t>
        </is>
      </c>
      <c r="B6295" s="1" t="n">
        <v>44398</v>
      </c>
      <c r="C6295" s="1" t="n">
        <v>45586</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37542-2021</t>
        </is>
      </c>
      <c r="B6296" s="1" t="n">
        <v>44399</v>
      </c>
      <c r="C6296" s="1" t="n">
        <v>45586</v>
      </c>
      <c r="D6296" t="inlineStr">
        <is>
          <t>VÄSTRA GÖTALANDS LÄN</t>
        </is>
      </c>
      <c r="E6296" t="inlineStr">
        <is>
          <t>TANUM</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37721-2021</t>
        </is>
      </c>
      <c r="B6297" s="1" t="n">
        <v>44400</v>
      </c>
      <c r="C6297" s="1" t="n">
        <v>45586</v>
      </c>
      <c r="D6297" t="inlineStr">
        <is>
          <t>VÄSTRA GÖTALANDS LÄN</t>
        </is>
      </c>
      <c r="E6297" t="inlineStr">
        <is>
          <t>TANUM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37700-2021</t>
        </is>
      </c>
      <c r="B6298" s="1" t="n">
        <v>44400</v>
      </c>
      <c r="C6298" s="1" t="n">
        <v>45586</v>
      </c>
      <c r="D6298" t="inlineStr">
        <is>
          <t>VÄSTRA GÖTALANDS LÄN</t>
        </is>
      </c>
      <c r="E6298" t="inlineStr">
        <is>
          <t>GULLSPÅNG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37677-2021</t>
        </is>
      </c>
      <c r="B6299" s="1" t="n">
        <v>44400</v>
      </c>
      <c r="C6299" s="1" t="n">
        <v>45586</v>
      </c>
      <c r="D6299" t="inlineStr">
        <is>
          <t>VÄSTRA GÖTALANDS LÄN</t>
        </is>
      </c>
      <c r="E6299" t="inlineStr">
        <is>
          <t>GRÄSTORP</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37744-2021</t>
        </is>
      </c>
      <c r="B6300" s="1" t="n">
        <v>44400</v>
      </c>
      <c r="C6300" s="1" t="n">
        <v>45586</v>
      </c>
      <c r="D6300" t="inlineStr">
        <is>
          <t>VÄSTRA GÖTALANDS LÄN</t>
        </is>
      </c>
      <c r="E6300" t="inlineStr">
        <is>
          <t>TANUM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37755-2021</t>
        </is>
      </c>
      <c r="B6301" s="1" t="n">
        <v>44400</v>
      </c>
      <c r="C6301" s="1" t="n">
        <v>45586</v>
      </c>
      <c r="D6301" t="inlineStr">
        <is>
          <t>VÄSTRA GÖTALANDS LÄN</t>
        </is>
      </c>
      <c r="E6301" t="inlineStr">
        <is>
          <t>MARK</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37787-2021</t>
        </is>
      </c>
      <c r="B6302" s="1" t="n">
        <v>44401</v>
      </c>
      <c r="C6302" s="1" t="n">
        <v>45586</v>
      </c>
      <c r="D6302" t="inlineStr">
        <is>
          <t>VÄSTRA GÖTALANDS LÄN</t>
        </is>
      </c>
      <c r="E6302" t="inlineStr">
        <is>
          <t>ÅMÅL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37814-2021</t>
        </is>
      </c>
      <c r="B6303" s="1" t="n">
        <v>44402</v>
      </c>
      <c r="C6303" s="1" t="n">
        <v>45586</v>
      </c>
      <c r="D6303" t="inlineStr">
        <is>
          <t>VÄSTRA GÖTALANDS LÄN</t>
        </is>
      </c>
      <c r="E6303" t="inlineStr">
        <is>
          <t>ÅMÅL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37813-2021</t>
        </is>
      </c>
      <c r="B6304" s="1" t="n">
        <v>44402</v>
      </c>
      <c r="C6304" s="1" t="n">
        <v>45586</v>
      </c>
      <c r="D6304" t="inlineStr">
        <is>
          <t>VÄSTRA GÖTALANDS LÄN</t>
        </is>
      </c>
      <c r="E6304" t="inlineStr">
        <is>
          <t>ÅMÅL</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37804-2021</t>
        </is>
      </c>
      <c r="B6305" s="1" t="n">
        <v>44402</v>
      </c>
      <c r="C6305" s="1" t="n">
        <v>45586</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37812-2021</t>
        </is>
      </c>
      <c r="B6306" s="1" t="n">
        <v>44402</v>
      </c>
      <c r="C6306" s="1" t="n">
        <v>45586</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37866-2021</t>
        </is>
      </c>
      <c r="B6307" s="1" t="n">
        <v>44403</v>
      </c>
      <c r="C6307" s="1" t="n">
        <v>45586</v>
      </c>
      <c r="D6307" t="inlineStr">
        <is>
          <t>VÄSTRA GÖTALANDS LÄN</t>
        </is>
      </c>
      <c r="E6307" t="inlineStr">
        <is>
          <t>STENUNGSUND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37857-2021</t>
        </is>
      </c>
      <c r="B6308" s="1" t="n">
        <v>44403</v>
      </c>
      <c r="C6308" s="1" t="n">
        <v>45586</v>
      </c>
      <c r="D6308" t="inlineStr">
        <is>
          <t>VÄSTRA GÖTALANDS LÄN</t>
        </is>
      </c>
      <c r="E6308" t="inlineStr">
        <is>
          <t>BENGTSFORS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37893-2021</t>
        </is>
      </c>
      <c r="B6309" s="1" t="n">
        <v>44403</v>
      </c>
      <c r="C6309" s="1" t="n">
        <v>45586</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38010-2021</t>
        </is>
      </c>
      <c r="B6310" s="1" t="n">
        <v>44404</v>
      </c>
      <c r="C6310" s="1" t="n">
        <v>45586</v>
      </c>
      <c r="D6310" t="inlineStr">
        <is>
          <t>VÄSTRA GÖTALANDS LÄN</t>
        </is>
      </c>
      <c r="E6310" t="inlineStr">
        <is>
          <t>TÖREBODA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38063-2021</t>
        </is>
      </c>
      <c r="B6311" s="1" t="n">
        <v>44404</v>
      </c>
      <c r="C6311" s="1" t="n">
        <v>45586</v>
      </c>
      <c r="D6311" t="inlineStr">
        <is>
          <t>VÄSTRA GÖTALANDS LÄN</t>
        </is>
      </c>
      <c r="E6311" t="inlineStr">
        <is>
          <t>ULRICEHAMN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38015-2021</t>
        </is>
      </c>
      <c r="B6312" s="1" t="n">
        <v>44404</v>
      </c>
      <c r="C6312" s="1" t="n">
        <v>45586</v>
      </c>
      <c r="D6312" t="inlineStr">
        <is>
          <t>VÄSTRA GÖTALANDS LÄN</t>
        </is>
      </c>
      <c r="E6312" t="inlineStr">
        <is>
          <t>ÅMÅL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38009-2021</t>
        </is>
      </c>
      <c r="B6313" s="1" t="n">
        <v>44404</v>
      </c>
      <c r="C6313" s="1" t="n">
        <v>45586</v>
      </c>
      <c r="D6313" t="inlineStr">
        <is>
          <t>VÄSTRA GÖTALANDS LÄN</t>
        </is>
      </c>
      <c r="E6313" t="inlineStr">
        <is>
          <t>TÖREBODA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38054-2021</t>
        </is>
      </c>
      <c r="B6314" s="1" t="n">
        <v>44404</v>
      </c>
      <c r="C6314" s="1" t="n">
        <v>45586</v>
      </c>
      <c r="D6314" t="inlineStr">
        <is>
          <t>VÄSTRA GÖTALANDS LÄN</t>
        </is>
      </c>
      <c r="E6314" t="inlineStr">
        <is>
          <t>MARIESTAD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38135-2021</t>
        </is>
      </c>
      <c r="B6315" s="1" t="n">
        <v>44404</v>
      </c>
      <c r="C6315" s="1" t="n">
        <v>45586</v>
      </c>
      <c r="D6315" t="inlineStr">
        <is>
          <t>VÄSTRA GÖTALANDS LÄN</t>
        </is>
      </c>
      <c r="E6315" t="inlineStr">
        <is>
          <t>MUNKEDAL</t>
        </is>
      </c>
      <c r="F6315" t="inlineStr">
        <is>
          <t>Övriga Aktiebolag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38123-2021</t>
        </is>
      </c>
      <c r="B6316" s="1" t="n">
        <v>44404</v>
      </c>
      <c r="C6316" s="1" t="n">
        <v>45586</v>
      </c>
      <c r="D6316" t="inlineStr">
        <is>
          <t>VÄSTRA GÖTALANDS LÄN</t>
        </is>
      </c>
      <c r="E6316" t="inlineStr">
        <is>
          <t>MUNKEDAL</t>
        </is>
      </c>
      <c r="F6316" t="inlineStr">
        <is>
          <t>Övriga Aktiebolag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38252-2021</t>
        </is>
      </c>
      <c r="B6317" s="1" t="n">
        <v>44405</v>
      </c>
      <c r="C6317" s="1" t="n">
        <v>45586</v>
      </c>
      <c r="D6317" t="inlineStr">
        <is>
          <t>VÄSTRA GÖTALANDS LÄN</t>
        </is>
      </c>
      <c r="E6317" t="inlineStr">
        <is>
          <t>GÖTENE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38251-2021</t>
        </is>
      </c>
      <c r="B6318" s="1" t="n">
        <v>44405</v>
      </c>
      <c r="C6318" s="1" t="n">
        <v>45586</v>
      </c>
      <c r="D6318" t="inlineStr">
        <is>
          <t>VÄSTRA GÖTALANDS LÄN</t>
        </is>
      </c>
      <c r="E6318" t="inlineStr">
        <is>
          <t>GÖTENE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38266-2021</t>
        </is>
      </c>
      <c r="B6319" s="1" t="n">
        <v>44405</v>
      </c>
      <c r="C6319" s="1" t="n">
        <v>45586</v>
      </c>
      <c r="D6319" t="inlineStr">
        <is>
          <t>VÄSTRA GÖTALANDS LÄN</t>
        </is>
      </c>
      <c r="E6319" t="inlineStr">
        <is>
          <t>TÖREBODA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38345-2021</t>
        </is>
      </c>
      <c r="B6320" s="1" t="n">
        <v>44406</v>
      </c>
      <c r="C6320" s="1" t="n">
        <v>45586</v>
      </c>
      <c r="D6320" t="inlineStr">
        <is>
          <t>VÄSTRA GÖTALANDS LÄN</t>
        </is>
      </c>
      <c r="E6320" t="inlineStr">
        <is>
          <t>ESSUNGA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38497-2021</t>
        </is>
      </c>
      <c r="B6321" s="1" t="n">
        <v>44407</v>
      </c>
      <c r="C6321" s="1" t="n">
        <v>45586</v>
      </c>
      <c r="D6321" t="inlineStr">
        <is>
          <t>VÄSTRA GÖTALANDS LÄN</t>
        </is>
      </c>
      <c r="E6321" t="inlineStr">
        <is>
          <t>MARK</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38565-2021</t>
        </is>
      </c>
      <c r="B6322" s="1" t="n">
        <v>44407</v>
      </c>
      <c r="C6322" s="1" t="n">
        <v>45586</v>
      </c>
      <c r="D6322" t="inlineStr">
        <is>
          <t>VÄSTRA GÖTALANDS LÄN</t>
        </is>
      </c>
      <c r="E6322" t="inlineStr">
        <is>
          <t>ÅMÅL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38566-2021</t>
        </is>
      </c>
      <c r="B6323" s="1" t="n">
        <v>44407</v>
      </c>
      <c r="C6323" s="1" t="n">
        <v>45586</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38551-2021</t>
        </is>
      </c>
      <c r="B6324" s="1" t="n">
        <v>44407</v>
      </c>
      <c r="C6324" s="1" t="n">
        <v>45586</v>
      </c>
      <c r="D6324" t="inlineStr">
        <is>
          <t>VÄSTRA GÖTALANDS LÄN</t>
        </is>
      </c>
      <c r="E6324" t="inlineStr">
        <is>
          <t>GULLSPÅNG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38600-2021</t>
        </is>
      </c>
      <c r="B6325" s="1" t="n">
        <v>44408</v>
      </c>
      <c r="C6325" s="1" t="n">
        <v>45586</v>
      </c>
      <c r="D6325" t="inlineStr">
        <is>
          <t>VÄSTRA GÖTALANDS LÄN</t>
        </is>
      </c>
      <c r="E6325" t="inlineStr">
        <is>
          <t>VÅRGÅRDA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38614-2021</t>
        </is>
      </c>
      <c r="B6326" s="1" t="n">
        <v>44409</v>
      </c>
      <c r="C6326" s="1" t="n">
        <v>45586</v>
      </c>
      <c r="D6326" t="inlineStr">
        <is>
          <t>VÄSTRA GÖTALANDS LÄN</t>
        </is>
      </c>
      <c r="E6326" t="inlineStr">
        <is>
          <t>ÅMÅL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38622-2021</t>
        </is>
      </c>
      <c r="B6327" s="1" t="n">
        <v>44409</v>
      </c>
      <c r="C6327" s="1" t="n">
        <v>45586</v>
      </c>
      <c r="D6327" t="inlineStr">
        <is>
          <t>VÄSTRA GÖTALANDS LÄN</t>
        </is>
      </c>
      <c r="E6327" t="inlineStr">
        <is>
          <t>VÅRGÅRDA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38615-2021</t>
        </is>
      </c>
      <c r="B6328" s="1" t="n">
        <v>44409</v>
      </c>
      <c r="C6328" s="1" t="n">
        <v>45586</v>
      </c>
      <c r="D6328" t="inlineStr">
        <is>
          <t>VÄSTRA GÖTALANDS LÄN</t>
        </is>
      </c>
      <c r="E6328" t="inlineStr">
        <is>
          <t>SVENLJUNGA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38754-2021</t>
        </is>
      </c>
      <c r="B6329" s="1" t="n">
        <v>44410</v>
      </c>
      <c r="C6329" s="1" t="n">
        <v>45586</v>
      </c>
      <c r="D6329" t="inlineStr">
        <is>
          <t>VÄSTRA GÖTALANDS LÄN</t>
        </is>
      </c>
      <c r="E6329" t="inlineStr">
        <is>
          <t>GULLSPÅNG</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38751-2021</t>
        </is>
      </c>
      <c r="B6330" s="1" t="n">
        <v>44410</v>
      </c>
      <c r="C6330" s="1" t="n">
        <v>45586</v>
      </c>
      <c r="D6330" t="inlineStr">
        <is>
          <t>VÄSTRA GÖTALANDS LÄN</t>
        </is>
      </c>
      <c r="E6330" t="inlineStr">
        <is>
          <t>MUNKEDAL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38843-2021</t>
        </is>
      </c>
      <c r="B6331" s="1" t="n">
        <v>44411</v>
      </c>
      <c r="C6331" s="1" t="n">
        <v>45586</v>
      </c>
      <c r="D6331" t="inlineStr">
        <is>
          <t>VÄSTRA GÖTALANDS LÄN</t>
        </is>
      </c>
      <c r="E6331" t="inlineStr">
        <is>
          <t>MARK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38991-2021</t>
        </is>
      </c>
      <c r="B6332" s="1" t="n">
        <v>44411</v>
      </c>
      <c r="C6332" s="1" t="n">
        <v>45586</v>
      </c>
      <c r="D6332" t="inlineStr">
        <is>
          <t>VÄSTRA GÖTALANDS LÄN</t>
        </is>
      </c>
      <c r="E6332" t="inlineStr">
        <is>
          <t>MUNKEDAL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39065-2021</t>
        </is>
      </c>
      <c r="B6333" s="1" t="n">
        <v>44411</v>
      </c>
      <c r="C6333" s="1" t="n">
        <v>45586</v>
      </c>
      <c r="D6333" t="inlineStr">
        <is>
          <t>VÄSTRA GÖTALANDS LÄN</t>
        </is>
      </c>
      <c r="E6333" t="inlineStr">
        <is>
          <t>LYSEKIL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38992-2021</t>
        </is>
      </c>
      <c r="B6334" s="1" t="n">
        <v>44411</v>
      </c>
      <c r="C6334" s="1" t="n">
        <v>45586</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38995-2021</t>
        </is>
      </c>
      <c r="B6335" s="1" t="n">
        <v>44412</v>
      </c>
      <c r="C6335" s="1" t="n">
        <v>45586</v>
      </c>
      <c r="D6335" t="inlineStr">
        <is>
          <t>VÄSTRA GÖTALANDS LÄN</t>
        </is>
      </c>
      <c r="E6335" t="inlineStr">
        <is>
          <t>BENGTSFORS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39093-2021</t>
        </is>
      </c>
      <c r="B6336" s="1" t="n">
        <v>44412</v>
      </c>
      <c r="C6336" s="1" t="n">
        <v>45586</v>
      </c>
      <c r="D6336" t="inlineStr">
        <is>
          <t>VÄSTRA GÖTALANDS LÄN</t>
        </is>
      </c>
      <c r="E6336" t="inlineStr">
        <is>
          <t>DALS-ED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39112-2021</t>
        </is>
      </c>
      <c r="B6337" s="1" t="n">
        <v>44412</v>
      </c>
      <c r="C6337" s="1" t="n">
        <v>45586</v>
      </c>
      <c r="D6337" t="inlineStr">
        <is>
          <t>VÄSTRA GÖTALANDS LÄN</t>
        </is>
      </c>
      <c r="E6337" t="inlineStr">
        <is>
          <t>MUNKEDAL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39055-2021</t>
        </is>
      </c>
      <c r="B6338" s="1" t="n">
        <v>44412</v>
      </c>
      <c r="C6338" s="1" t="n">
        <v>45586</v>
      </c>
      <c r="D6338" t="inlineStr">
        <is>
          <t>VÄSTRA GÖTALANDS LÄN</t>
        </is>
      </c>
      <c r="E6338" t="inlineStr">
        <is>
          <t>MARIESTAD</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39105-2021</t>
        </is>
      </c>
      <c r="B6339" s="1" t="n">
        <v>44412</v>
      </c>
      <c r="C6339" s="1" t="n">
        <v>45586</v>
      </c>
      <c r="D6339" t="inlineStr">
        <is>
          <t>VÄSTRA GÖTALANDS LÄN</t>
        </is>
      </c>
      <c r="E6339" t="inlineStr">
        <is>
          <t>BENGTSFORS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39016-2021</t>
        </is>
      </c>
      <c r="B6340" s="1" t="n">
        <v>44412</v>
      </c>
      <c r="C6340" s="1" t="n">
        <v>45586</v>
      </c>
      <c r="D6340" t="inlineStr">
        <is>
          <t>VÄSTRA GÖTALANDS LÄN</t>
        </is>
      </c>
      <c r="E6340" t="inlineStr">
        <is>
          <t>DALS-ED</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39084-2021</t>
        </is>
      </c>
      <c r="B6341" s="1" t="n">
        <v>44412</v>
      </c>
      <c r="C6341" s="1" t="n">
        <v>45586</v>
      </c>
      <c r="D6341" t="inlineStr">
        <is>
          <t>VÄSTRA GÖTALANDS LÄN</t>
        </is>
      </c>
      <c r="E6341" t="inlineStr">
        <is>
          <t>BENGTSFORS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39152-2021</t>
        </is>
      </c>
      <c r="B6342" s="1" t="n">
        <v>44412</v>
      </c>
      <c r="C6342" s="1" t="n">
        <v>45586</v>
      </c>
      <c r="D6342" t="inlineStr">
        <is>
          <t>VÄSTRA GÖTALANDS LÄN</t>
        </is>
      </c>
      <c r="E6342" t="inlineStr">
        <is>
          <t>ULRICEHAMN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39228-2021</t>
        </is>
      </c>
      <c r="B6343" s="1" t="n">
        <v>44413</v>
      </c>
      <c r="C6343" s="1" t="n">
        <v>45586</v>
      </c>
      <c r="D6343" t="inlineStr">
        <is>
          <t>VÄSTRA GÖTALANDS LÄN</t>
        </is>
      </c>
      <c r="E6343" t="inlineStr">
        <is>
          <t>SKÖVDE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39287-2021</t>
        </is>
      </c>
      <c r="B6344" s="1" t="n">
        <v>44413</v>
      </c>
      <c r="C6344" s="1" t="n">
        <v>45586</v>
      </c>
      <c r="D6344" t="inlineStr">
        <is>
          <t>VÄSTRA GÖTALANDS LÄN</t>
        </is>
      </c>
      <c r="E6344" t="inlineStr">
        <is>
          <t>UDDEVALLA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39441-2021</t>
        </is>
      </c>
      <c r="B6345" s="1" t="n">
        <v>44414</v>
      </c>
      <c r="C6345" s="1" t="n">
        <v>45586</v>
      </c>
      <c r="D6345" t="inlineStr">
        <is>
          <t>VÄSTRA GÖTALANDS LÄN</t>
        </is>
      </c>
      <c r="E6345" t="inlineStr">
        <is>
          <t>MUNKEDAL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39352-2021</t>
        </is>
      </c>
      <c r="B6346" s="1" t="n">
        <v>44414</v>
      </c>
      <c r="C6346" s="1" t="n">
        <v>45586</v>
      </c>
      <c r="D6346" t="inlineStr">
        <is>
          <t>VÄSTRA GÖTALANDS LÄN</t>
        </is>
      </c>
      <c r="E6346" t="inlineStr">
        <is>
          <t>MARIESTAD</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39477-2021</t>
        </is>
      </c>
      <c r="B6347" s="1" t="n">
        <v>44414</v>
      </c>
      <c r="C6347" s="1" t="n">
        <v>45586</v>
      </c>
      <c r="D6347" t="inlineStr">
        <is>
          <t>VÄSTRA GÖTALANDS LÄN</t>
        </is>
      </c>
      <c r="E6347" t="inlineStr">
        <is>
          <t>MELLERUD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39437-2021</t>
        </is>
      </c>
      <c r="B6348" s="1" t="n">
        <v>44414</v>
      </c>
      <c r="C6348" s="1" t="n">
        <v>45586</v>
      </c>
      <c r="D6348" t="inlineStr">
        <is>
          <t>VÄSTRA GÖTALANDS LÄN</t>
        </is>
      </c>
      <c r="E6348" t="inlineStr">
        <is>
          <t>MARIESTAD</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39570-2021</t>
        </is>
      </c>
      <c r="B6349" s="1" t="n">
        <v>44416</v>
      </c>
      <c r="C6349" s="1" t="n">
        <v>45586</v>
      </c>
      <c r="D6349" t="inlineStr">
        <is>
          <t>VÄSTRA GÖTALANDS LÄN</t>
        </is>
      </c>
      <c r="E6349" t="inlineStr">
        <is>
          <t>MARK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39654-2021</t>
        </is>
      </c>
      <c r="B6350" s="1" t="n">
        <v>44417</v>
      </c>
      <c r="C6350" s="1" t="n">
        <v>45586</v>
      </c>
      <c r="D6350" t="inlineStr">
        <is>
          <t>VÄSTRA GÖTALANDS LÄN</t>
        </is>
      </c>
      <c r="E6350" t="inlineStr">
        <is>
          <t>HERRLJUNGA</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39724-2021</t>
        </is>
      </c>
      <c r="B6351" s="1" t="n">
        <v>44417</v>
      </c>
      <c r="C6351" s="1" t="n">
        <v>45586</v>
      </c>
      <c r="D6351" t="inlineStr">
        <is>
          <t>VÄSTRA GÖTALANDS LÄN</t>
        </is>
      </c>
      <c r="E6351" t="inlineStr">
        <is>
          <t>HERRLJUNGA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39732-2021</t>
        </is>
      </c>
      <c r="B6352" s="1" t="n">
        <v>44417</v>
      </c>
      <c r="C6352" s="1" t="n">
        <v>45586</v>
      </c>
      <c r="D6352" t="inlineStr">
        <is>
          <t>VÄSTRA GÖTALANDS LÄN</t>
        </is>
      </c>
      <c r="E6352" t="inlineStr">
        <is>
          <t>HERRLJUNGA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39774-2021</t>
        </is>
      </c>
      <c r="B6353" s="1" t="n">
        <v>44417</v>
      </c>
      <c r="C6353" s="1" t="n">
        <v>45586</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39649-2021</t>
        </is>
      </c>
      <c r="B6354" s="1" t="n">
        <v>44417</v>
      </c>
      <c r="C6354" s="1" t="n">
        <v>45586</v>
      </c>
      <c r="D6354" t="inlineStr">
        <is>
          <t>VÄSTRA GÖTALANDS LÄN</t>
        </is>
      </c>
      <c r="E6354" t="inlineStr">
        <is>
          <t>MARK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39682-2021</t>
        </is>
      </c>
      <c r="B6355" s="1" t="n">
        <v>44417</v>
      </c>
      <c r="C6355" s="1" t="n">
        <v>45586</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39725-2021</t>
        </is>
      </c>
      <c r="B6356" s="1" t="n">
        <v>44417</v>
      </c>
      <c r="C6356" s="1" t="n">
        <v>45586</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39787-2021</t>
        </is>
      </c>
      <c r="B6357" s="1" t="n">
        <v>44417</v>
      </c>
      <c r="C6357" s="1" t="n">
        <v>45586</v>
      </c>
      <c r="D6357" t="inlineStr">
        <is>
          <t>VÄSTRA GÖTALANDS LÄN</t>
        </is>
      </c>
      <c r="E6357" t="inlineStr">
        <is>
          <t>SKÖVDE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39730-2021</t>
        </is>
      </c>
      <c r="B6358" s="1" t="n">
        <v>44417</v>
      </c>
      <c r="C6358" s="1" t="n">
        <v>45586</v>
      </c>
      <c r="D6358" t="inlineStr">
        <is>
          <t>VÄSTRA GÖTALANDS LÄN</t>
        </is>
      </c>
      <c r="E6358" t="inlineStr">
        <is>
          <t>HERRLJUNGA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39754-2021</t>
        </is>
      </c>
      <c r="B6359" s="1" t="n">
        <v>44417</v>
      </c>
      <c r="C6359" s="1" t="n">
        <v>45586</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39840-2021</t>
        </is>
      </c>
      <c r="B6360" s="1" t="n">
        <v>44417</v>
      </c>
      <c r="C6360" s="1" t="n">
        <v>45586</v>
      </c>
      <c r="D6360" t="inlineStr">
        <is>
          <t>VÄSTRA GÖTALANDS LÄN</t>
        </is>
      </c>
      <c r="E6360" t="inlineStr">
        <is>
          <t>ÅMÅL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39883-2021</t>
        </is>
      </c>
      <c r="B6361" s="1" t="n">
        <v>44417</v>
      </c>
      <c r="C6361" s="1" t="n">
        <v>45586</v>
      </c>
      <c r="D6361" t="inlineStr">
        <is>
          <t>VÄSTRA GÖTALANDS LÄN</t>
        </is>
      </c>
      <c r="E6361" t="inlineStr">
        <is>
          <t>SKÖVDE</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39795-2021</t>
        </is>
      </c>
      <c r="B6362" s="1" t="n">
        <v>44417</v>
      </c>
      <c r="C6362" s="1" t="n">
        <v>45586</v>
      </c>
      <c r="D6362" t="inlineStr">
        <is>
          <t>VÄSTRA GÖTALANDS LÄN</t>
        </is>
      </c>
      <c r="E6362" t="inlineStr">
        <is>
          <t>BENGTSFORS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39818-2021</t>
        </is>
      </c>
      <c r="B6363" s="1" t="n">
        <v>44417</v>
      </c>
      <c r="C6363" s="1" t="n">
        <v>45586</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39847-2021</t>
        </is>
      </c>
      <c r="B6364" s="1" t="n">
        <v>44417</v>
      </c>
      <c r="C6364" s="1" t="n">
        <v>45586</v>
      </c>
      <c r="D6364" t="inlineStr">
        <is>
          <t>VÄSTRA GÖTALANDS LÄN</t>
        </is>
      </c>
      <c r="E6364" t="inlineStr">
        <is>
          <t>ÅMÅL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39959-2021</t>
        </is>
      </c>
      <c r="B6365" s="1" t="n">
        <v>44417</v>
      </c>
      <c r="C6365" s="1" t="n">
        <v>45586</v>
      </c>
      <c r="D6365" t="inlineStr">
        <is>
          <t>VÄSTRA GÖTALANDS LÄN</t>
        </is>
      </c>
      <c r="E6365" t="inlineStr">
        <is>
          <t>TANUM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39962-2021</t>
        </is>
      </c>
      <c r="B6366" s="1" t="n">
        <v>44417</v>
      </c>
      <c r="C6366" s="1" t="n">
        <v>45586</v>
      </c>
      <c r="D6366" t="inlineStr">
        <is>
          <t>VÄSTRA GÖTALANDS LÄN</t>
        </is>
      </c>
      <c r="E6366" t="inlineStr">
        <is>
          <t>TANUM</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39842-2021</t>
        </is>
      </c>
      <c r="B6367" s="1" t="n">
        <v>44417</v>
      </c>
      <c r="C6367" s="1" t="n">
        <v>45586</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39917-2021</t>
        </is>
      </c>
      <c r="B6368" s="1" t="n">
        <v>44417</v>
      </c>
      <c r="C6368" s="1" t="n">
        <v>45586</v>
      </c>
      <c r="D6368" t="inlineStr">
        <is>
          <t>VÄSTRA GÖTALANDS LÄN</t>
        </is>
      </c>
      <c r="E6368" t="inlineStr">
        <is>
          <t>BENGTSFORS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39963-2021</t>
        </is>
      </c>
      <c r="B6369" s="1" t="n">
        <v>44418</v>
      </c>
      <c r="C6369" s="1" t="n">
        <v>45586</v>
      </c>
      <c r="D6369" t="inlineStr">
        <is>
          <t>VÄSTRA GÖTALANDS LÄN</t>
        </is>
      </c>
      <c r="E6369" t="inlineStr">
        <is>
          <t>ALINGSÅS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40096-2021</t>
        </is>
      </c>
      <c r="B6370" s="1" t="n">
        <v>44418</v>
      </c>
      <c r="C6370" s="1" t="n">
        <v>45586</v>
      </c>
      <c r="D6370" t="inlineStr">
        <is>
          <t>VÄSTRA GÖTALANDS LÄN</t>
        </is>
      </c>
      <c r="E6370" t="inlineStr">
        <is>
          <t>GÖTENE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40105-2021</t>
        </is>
      </c>
      <c r="B6371" s="1" t="n">
        <v>44418</v>
      </c>
      <c r="C6371" s="1" t="n">
        <v>45586</v>
      </c>
      <c r="D6371" t="inlineStr">
        <is>
          <t>VÄSTRA GÖTALANDS LÄN</t>
        </is>
      </c>
      <c r="E6371" t="inlineStr">
        <is>
          <t>SKÖVDE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40127-2021</t>
        </is>
      </c>
      <c r="B6372" s="1" t="n">
        <v>44418</v>
      </c>
      <c r="C6372" s="1" t="n">
        <v>45586</v>
      </c>
      <c r="D6372" t="inlineStr">
        <is>
          <t>VÄSTRA GÖTALANDS LÄN</t>
        </is>
      </c>
      <c r="E6372" t="inlineStr">
        <is>
          <t>TÖREBODA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40065-2021</t>
        </is>
      </c>
      <c r="B6373" s="1" t="n">
        <v>44418</v>
      </c>
      <c r="C6373" s="1" t="n">
        <v>45586</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40115-2021</t>
        </is>
      </c>
      <c r="B6374" s="1" t="n">
        <v>44418</v>
      </c>
      <c r="C6374" s="1" t="n">
        <v>45586</v>
      </c>
      <c r="D6374" t="inlineStr">
        <is>
          <t>VÄSTRA GÖTALANDS LÄN</t>
        </is>
      </c>
      <c r="E6374" t="inlineStr">
        <is>
          <t>ULRICEHAMN</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40037-2021</t>
        </is>
      </c>
      <c r="B6375" s="1" t="n">
        <v>44418</v>
      </c>
      <c r="C6375" s="1" t="n">
        <v>45586</v>
      </c>
      <c r="D6375" t="inlineStr">
        <is>
          <t>VÄSTRA GÖTALANDS LÄN</t>
        </is>
      </c>
      <c r="E6375" t="inlineStr">
        <is>
          <t>UDDEVALLA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40054-2021</t>
        </is>
      </c>
      <c r="B6376" s="1" t="n">
        <v>44418</v>
      </c>
      <c r="C6376" s="1" t="n">
        <v>45586</v>
      </c>
      <c r="D6376" t="inlineStr">
        <is>
          <t>VÄSTRA GÖTALANDS LÄN</t>
        </is>
      </c>
      <c r="E6376" t="inlineStr">
        <is>
          <t>SVENLJUNGA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40110-2021</t>
        </is>
      </c>
      <c r="B6377" s="1" t="n">
        <v>44418</v>
      </c>
      <c r="C6377" s="1" t="n">
        <v>45586</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40050-2021</t>
        </is>
      </c>
      <c r="B6378" s="1" t="n">
        <v>44418</v>
      </c>
      <c r="C6378" s="1" t="n">
        <v>45586</v>
      </c>
      <c r="D6378" t="inlineStr">
        <is>
          <t>VÄSTRA GÖTALANDS LÄN</t>
        </is>
      </c>
      <c r="E6378" t="inlineStr">
        <is>
          <t>TRANEMO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40202-2021</t>
        </is>
      </c>
      <c r="B6379" s="1" t="n">
        <v>44418</v>
      </c>
      <c r="C6379" s="1" t="n">
        <v>45586</v>
      </c>
      <c r="D6379" t="inlineStr">
        <is>
          <t>VÄSTRA GÖTALANDS LÄN</t>
        </is>
      </c>
      <c r="E6379" t="inlineStr">
        <is>
          <t>BOLLEBYGD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40145-2021</t>
        </is>
      </c>
      <c r="B6380" s="1" t="n">
        <v>44418</v>
      </c>
      <c r="C6380" s="1" t="n">
        <v>45586</v>
      </c>
      <c r="D6380" t="inlineStr">
        <is>
          <t>VÄSTRA GÖTALANDS LÄN</t>
        </is>
      </c>
      <c r="E6380" t="inlineStr">
        <is>
          <t>TANUM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40173-2021</t>
        </is>
      </c>
      <c r="B6381" s="1" t="n">
        <v>44418</v>
      </c>
      <c r="C6381" s="1" t="n">
        <v>45586</v>
      </c>
      <c r="D6381" t="inlineStr">
        <is>
          <t>VÄSTRA GÖTALANDS LÄN</t>
        </is>
      </c>
      <c r="E6381" t="inlineStr">
        <is>
          <t>FALKÖPING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40201-2021</t>
        </is>
      </c>
      <c r="B6382" s="1" t="n">
        <v>44418</v>
      </c>
      <c r="C6382" s="1" t="n">
        <v>45586</v>
      </c>
      <c r="D6382" t="inlineStr">
        <is>
          <t>VÄSTRA GÖTALANDS LÄN</t>
        </is>
      </c>
      <c r="E6382" t="inlineStr">
        <is>
          <t>BOLLEBYGD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40226-2021</t>
        </is>
      </c>
      <c r="B6383" s="1" t="n">
        <v>44419</v>
      </c>
      <c r="C6383" s="1" t="n">
        <v>45586</v>
      </c>
      <c r="D6383" t="inlineStr">
        <is>
          <t>VÄSTRA GÖTALANDS LÄN</t>
        </is>
      </c>
      <c r="E6383" t="inlineStr">
        <is>
          <t>VÄNERSBORG</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40275-2021</t>
        </is>
      </c>
      <c r="B6384" s="1" t="n">
        <v>44419</v>
      </c>
      <c r="C6384" s="1" t="n">
        <v>45586</v>
      </c>
      <c r="D6384" t="inlineStr">
        <is>
          <t>VÄSTRA GÖTALANDS LÄN</t>
        </is>
      </c>
      <c r="E6384" t="inlineStr">
        <is>
          <t>GULLSPÅNG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40223-2021</t>
        </is>
      </c>
      <c r="B6385" s="1" t="n">
        <v>44419</v>
      </c>
      <c r="C6385" s="1" t="n">
        <v>45586</v>
      </c>
      <c r="D6385" t="inlineStr">
        <is>
          <t>VÄSTRA GÖTALANDS LÄN</t>
        </is>
      </c>
      <c r="E6385" t="inlineStr">
        <is>
          <t>VÄNERSBORG</t>
        </is>
      </c>
      <c r="F6385" t="inlineStr">
        <is>
          <t>Sveaskog</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40283-2021</t>
        </is>
      </c>
      <c r="B6386" s="1" t="n">
        <v>44419</v>
      </c>
      <c r="C6386" s="1" t="n">
        <v>45586</v>
      </c>
      <c r="D6386" t="inlineStr">
        <is>
          <t>VÄSTRA GÖTALANDS LÄN</t>
        </is>
      </c>
      <c r="E6386" t="inlineStr">
        <is>
          <t>SVENLJUNGA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40224-2021</t>
        </is>
      </c>
      <c r="B6387" s="1" t="n">
        <v>44419</v>
      </c>
      <c r="C6387" s="1" t="n">
        <v>45586</v>
      </c>
      <c r="D6387" t="inlineStr">
        <is>
          <t>VÄSTRA GÖTALANDS LÄN</t>
        </is>
      </c>
      <c r="E6387" t="inlineStr">
        <is>
          <t>VÄNERSBORG</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40321-2021</t>
        </is>
      </c>
      <c r="B6388" s="1" t="n">
        <v>44419</v>
      </c>
      <c r="C6388" s="1" t="n">
        <v>45586</v>
      </c>
      <c r="D6388" t="inlineStr">
        <is>
          <t>VÄSTRA GÖTALANDS LÄN</t>
        </is>
      </c>
      <c r="E6388" t="inlineStr">
        <is>
          <t>TÖREBODA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40319-2021</t>
        </is>
      </c>
      <c r="B6389" s="1" t="n">
        <v>44419</v>
      </c>
      <c r="C6389" s="1" t="n">
        <v>45586</v>
      </c>
      <c r="D6389" t="inlineStr">
        <is>
          <t>VÄSTRA GÖTALANDS LÄN</t>
        </is>
      </c>
      <c r="E6389" t="inlineStr">
        <is>
          <t>FÄRGELANDA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40384-2021</t>
        </is>
      </c>
      <c r="B6390" s="1" t="n">
        <v>44419</v>
      </c>
      <c r="C6390" s="1" t="n">
        <v>45586</v>
      </c>
      <c r="D6390" t="inlineStr">
        <is>
          <t>VÄSTRA GÖTALANDS LÄN</t>
        </is>
      </c>
      <c r="E6390" t="inlineStr">
        <is>
          <t>HERRLJUNGA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40444-2021</t>
        </is>
      </c>
      <c r="B6391" s="1" t="n">
        <v>44419</v>
      </c>
      <c r="C6391" s="1" t="n">
        <v>45586</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40429-2021</t>
        </is>
      </c>
      <c r="B6392" s="1" t="n">
        <v>44419</v>
      </c>
      <c r="C6392" s="1" t="n">
        <v>45586</v>
      </c>
      <c r="D6392" t="inlineStr">
        <is>
          <t>VÄSTRA GÖTALANDS LÄN</t>
        </is>
      </c>
      <c r="E6392" t="inlineStr">
        <is>
          <t>BENGTSFORS</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40627-2021</t>
        </is>
      </c>
      <c r="B6393" s="1" t="n">
        <v>44420</v>
      </c>
      <c r="C6393" s="1" t="n">
        <v>45586</v>
      </c>
      <c r="D6393" t="inlineStr">
        <is>
          <t>VÄSTRA GÖTALANDS LÄN</t>
        </is>
      </c>
      <c r="E6393" t="inlineStr">
        <is>
          <t>TIDAHOLM</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40536-2021</t>
        </is>
      </c>
      <c r="B6394" s="1" t="n">
        <v>44420</v>
      </c>
      <c r="C6394" s="1" t="n">
        <v>45586</v>
      </c>
      <c r="D6394" t="inlineStr">
        <is>
          <t>VÄSTRA GÖTALANDS LÄN</t>
        </is>
      </c>
      <c r="E6394" t="inlineStr">
        <is>
          <t>VARA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40611-2021</t>
        </is>
      </c>
      <c r="B6395" s="1" t="n">
        <v>44420</v>
      </c>
      <c r="C6395" s="1" t="n">
        <v>45586</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40701-2021</t>
        </is>
      </c>
      <c r="B6396" s="1" t="n">
        <v>44420</v>
      </c>
      <c r="C6396" s="1" t="n">
        <v>45586</v>
      </c>
      <c r="D6396" t="inlineStr">
        <is>
          <t>VÄSTRA GÖTALANDS LÄN</t>
        </is>
      </c>
      <c r="E6396" t="inlineStr">
        <is>
          <t>LIDKÖPING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40714-2021</t>
        </is>
      </c>
      <c r="B6397" s="1" t="n">
        <v>44420</v>
      </c>
      <c r="C6397" s="1" t="n">
        <v>45586</v>
      </c>
      <c r="D6397" t="inlineStr">
        <is>
          <t>VÄSTRA GÖTALANDS LÄN</t>
        </is>
      </c>
      <c r="E6397" t="inlineStr">
        <is>
          <t>FALKÖPING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40712-2021</t>
        </is>
      </c>
      <c r="B6398" s="1" t="n">
        <v>44420</v>
      </c>
      <c r="C6398" s="1" t="n">
        <v>45586</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40858-2021</t>
        </is>
      </c>
      <c r="B6399" s="1" t="n">
        <v>44421</v>
      </c>
      <c r="C6399" s="1" t="n">
        <v>45586</v>
      </c>
      <c r="D6399" t="inlineStr">
        <is>
          <t>VÄSTRA GÖTALANDS LÄN</t>
        </is>
      </c>
      <c r="E6399" t="inlineStr">
        <is>
          <t>MARK</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40946-2021</t>
        </is>
      </c>
      <c r="B6400" s="1" t="n">
        <v>44421</v>
      </c>
      <c r="C6400" s="1" t="n">
        <v>45586</v>
      </c>
      <c r="D6400" t="inlineStr">
        <is>
          <t>VÄSTRA GÖTALANDS LÄN</t>
        </is>
      </c>
      <c r="E6400" t="inlineStr">
        <is>
          <t>SKARA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40864-2021</t>
        </is>
      </c>
      <c r="B6401" s="1" t="n">
        <v>44421</v>
      </c>
      <c r="C6401" s="1" t="n">
        <v>45586</v>
      </c>
      <c r="D6401" t="inlineStr">
        <is>
          <t>VÄSTRA GÖTALANDS LÄN</t>
        </is>
      </c>
      <c r="E6401" t="inlineStr">
        <is>
          <t>TROLLHÄTTAN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40807-2021</t>
        </is>
      </c>
      <c r="B6402" s="1" t="n">
        <v>44421</v>
      </c>
      <c r="C6402" s="1" t="n">
        <v>45586</v>
      </c>
      <c r="D6402" t="inlineStr">
        <is>
          <t>VÄSTRA GÖTALANDS LÄN</t>
        </is>
      </c>
      <c r="E6402" t="inlineStr">
        <is>
          <t>TRANEMO</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40950-2021</t>
        </is>
      </c>
      <c r="B6403" s="1" t="n">
        <v>44421</v>
      </c>
      <c r="C6403" s="1" t="n">
        <v>45586</v>
      </c>
      <c r="D6403" t="inlineStr">
        <is>
          <t>VÄSTRA GÖTALANDS LÄN</t>
        </is>
      </c>
      <c r="E6403" t="inlineStr">
        <is>
          <t>MUNKEDAL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40928-2021</t>
        </is>
      </c>
      <c r="B6404" s="1" t="n">
        <v>44421</v>
      </c>
      <c r="C6404" s="1" t="n">
        <v>45586</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40935-2021</t>
        </is>
      </c>
      <c r="B6405" s="1" t="n">
        <v>44421</v>
      </c>
      <c r="C6405" s="1" t="n">
        <v>45586</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40982-2021</t>
        </is>
      </c>
      <c r="B6406" s="1" t="n">
        <v>44421</v>
      </c>
      <c r="C6406" s="1" t="n">
        <v>45586</v>
      </c>
      <c r="D6406" t="inlineStr">
        <is>
          <t>VÄSTRA GÖTALANDS LÄN</t>
        </is>
      </c>
      <c r="E6406" t="inlineStr">
        <is>
          <t>GULLSPÅNG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41005-2021</t>
        </is>
      </c>
      <c r="B6407" s="1" t="n">
        <v>44421</v>
      </c>
      <c r="C6407" s="1" t="n">
        <v>45586</v>
      </c>
      <c r="D6407" t="inlineStr">
        <is>
          <t>VÄSTRA GÖTALANDS LÄN</t>
        </is>
      </c>
      <c r="E6407" t="inlineStr">
        <is>
          <t>ULRICEHAMN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40954-2021</t>
        </is>
      </c>
      <c r="B6408" s="1" t="n">
        <v>44421</v>
      </c>
      <c r="C6408" s="1" t="n">
        <v>45586</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41155-2021</t>
        </is>
      </c>
      <c r="B6409" s="1" t="n">
        <v>44421</v>
      </c>
      <c r="C6409" s="1" t="n">
        <v>45586</v>
      </c>
      <c r="D6409" t="inlineStr">
        <is>
          <t>VÄSTRA GÖTALANDS LÄN</t>
        </is>
      </c>
      <c r="E6409" t="inlineStr">
        <is>
          <t>SKÖVDE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41048-2021</t>
        </is>
      </c>
      <c r="B6410" s="1" t="n">
        <v>44421</v>
      </c>
      <c r="C6410" s="1" t="n">
        <v>45586</v>
      </c>
      <c r="D6410" t="inlineStr">
        <is>
          <t>VÄSTRA GÖTALANDS LÄN</t>
        </is>
      </c>
      <c r="E6410" t="inlineStr">
        <is>
          <t>HERRLJUNGA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41156-2021</t>
        </is>
      </c>
      <c r="B6411" s="1" t="n">
        <v>44421</v>
      </c>
      <c r="C6411" s="1" t="n">
        <v>45586</v>
      </c>
      <c r="D6411" t="inlineStr">
        <is>
          <t>VÄSTRA GÖTALANDS LÄN</t>
        </is>
      </c>
      <c r="E6411" t="inlineStr">
        <is>
          <t>SKÖVDE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41087-2021</t>
        </is>
      </c>
      <c r="B6412" s="1" t="n">
        <v>44422</v>
      </c>
      <c r="C6412" s="1" t="n">
        <v>45586</v>
      </c>
      <c r="D6412" t="inlineStr">
        <is>
          <t>VÄSTRA GÖTALANDS LÄN</t>
        </is>
      </c>
      <c r="E6412" t="inlineStr">
        <is>
          <t>HERRLJUNGA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41075-2021</t>
        </is>
      </c>
      <c r="B6413" s="1" t="n">
        <v>44422</v>
      </c>
      <c r="C6413" s="1" t="n">
        <v>45586</v>
      </c>
      <c r="D6413" t="inlineStr">
        <is>
          <t>VÄSTRA GÖTALANDS LÄN</t>
        </is>
      </c>
      <c r="E6413" t="inlineStr">
        <is>
          <t>TROLLHÄTTAN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41122-2021</t>
        </is>
      </c>
      <c r="B6414" s="1" t="n">
        <v>44423</v>
      </c>
      <c r="C6414" s="1" t="n">
        <v>45586</v>
      </c>
      <c r="D6414" t="inlineStr">
        <is>
          <t>VÄSTRA GÖTALANDS LÄN</t>
        </is>
      </c>
      <c r="E6414" t="inlineStr">
        <is>
          <t>TRANEMO</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41312-2021</t>
        </is>
      </c>
      <c r="B6415" s="1" t="n">
        <v>44424</v>
      </c>
      <c r="C6415" s="1" t="n">
        <v>45586</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41557-2021</t>
        </is>
      </c>
      <c r="B6416" s="1" t="n">
        <v>44425</v>
      </c>
      <c r="C6416" s="1" t="n">
        <v>45586</v>
      </c>
      <c r="D6416" t="inlineStr">
        <is>
          <t>VÄSTRA GÖTALANDS LÄN</t>
        </is>
      </c>
      <c r="E6416" t="inlineStr">
        <is>
          <t>TÖREBODA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41536-2021</t>
        </is>
      </c>
      <c r="B6417" s="1" t="n">
        <v>44425</v>
      </c>
      <c r="C6417" s="1" t="n">
        <v>45586</v>
      </c>
      <c r="D6417" t="inlineStr">
        <is>
          <t>VÄSTRA GÖTALANDS LÄN</t>
        </is>
      </c>
      <c r="E6417" t="inlineStr">
        <is>
          <t>MARK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41630-2021</t>
        </is>
      </c>
      <c r="B6418" s="1" t="n">
        <v>44425</v>
      </c>
      <c r="C6418" s="1" t="n">
        <v>45586</v>
      </c>
      <c r="D6418" t="inlineStr">
        <is>
          <t>VÄSTRA GÖTALANDS LÄN</t>
        </is>
      </c>
      <c r="E6418" t="inlineStr">
        <is>
          <t>LILLA EDET</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41751-2021</t>
        </is>
      </c>
      <c r="B6419" s="1" t="n">
        <v>44425</v>
      </c>
      <c r="C6419" s="1" t="n">
        <v>45586</v>
      </c>
      <c r="D6419" t="inlineStr">
        <is>
          <t>VÄSTRA GÖTALANDS LÄN</t>
        </is>
      </c>
      <c r="E6419" t="inlineStr">
        <is>
          <t>KUNGÄLV</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41696-2021</t>
        </is>
      </c>
      <c r="B6420" s="1" t="n">
        <v>44425</v>
      </c>
      <c r="C6420" s="1" t="n">
        <v>45586</v>
      </c>
      <c r="D6420" t="inlineStr">
        <is>
          <t>VÄSTRA GÖTALANDS LÄN</t>
        </is>
      </c>
      <c r="E6420" t="inlineStr">
        <is>
          <t>DALS-ED</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41765-2021</t>
        </is>
      </c>
      <c r="B6421" s="1" t="n">
        <v>44425</v>
      </c>
      <c r="C6421" s="1" t="n">
        <v>45586</v>
      </c>
      <c r="D6421" t="inlineStr">
        <is>
          <t>VÄSTRA GÖTALANDS LÄN</t>
        </is>
      </c>
      <c r="E6421" t="inlineStr">
        <is>
          <t>KUNGÄLV</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41771-2021</t>
        </is>
      </c>
      <c r="B6422" s="1" t="n">
        <v>44425</v>
      </c>
      <c r="C6422" s="1" t="n">
        <v>45586</v>
      </c>
      <c r="D6422" t="inlineStr">
        <is>
          <t>VÄSTRA GÖTALANDS LÄN</t>
        </is>
      </c>
      <c r="E6422" t="inlineStr">
        <is>
          <t>KUNGÄLV</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41813-2021</t>
        </is>
      </c>
      <c r="B6423" s="1" t="n">
        <v>44425</v>
      </c>
      <c r="C6423" s="1" t="n">
        <v>45586</v>
      </c>
      <c r="D6423" t="inlineStr">
        <is>
          <t>VÄSTRA GÖTALANDS LÄN</t>
        </is>
      </c>
      <c r="E6423" t="inlineStr">
        <is>
          <t>MARK</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41761-2021</t>
        </is>
      </c>
      <c r="B6424" s="1" t="n">
        <v>44425</v>
      </c>
      <c r="C6424" s="1" t="n">
        <v>45586</v>
      </c>
      <c r="D6424" t="inlineStr">
        <is>
          <t>VÄSTRA GÖTALANDS LÄN</t>
        </is>
      </c>
      <c r="E6424" t="inlineStr">
        <is>
          <t>MARIESTAD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41942-2021</t>
        </is>
      </c>
      <c r="B6425" s="1" t="n">
        <v>44425</v>
      </c>
      <c r="C6425" s="1" t="n">
        <v>45586</v>
      </c>
      <c r="D6425" t="inlineStr">
        <is>
          <t>VÄSTRA GÖTALANDS LÄN</t>
        </is>
      </c>
      <c r="E6425" t="inlineStr">
        <is>
          <t>SKÖVDE</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41954-2021</t>
        </is>
      </c>
      <c r="B6426" s="1" t="n">
        <v>44426</v>
      </c>
      <c r="C6426" s="1" t="n">
        <v>45586</v>
      </c>
      <c r="D6426" t="inlineStr">
        <is>
          <t>VÄSTRA GÖTALANDS LÄN</t>
        </is>
      </c>
      <c r="E6426" t="inlineStr">
        <is>
          <t>KARLSBORG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41886-2021</t>
        </is>
      </c>
      <c r="B6427" s="1" t="n">
        <v>44426</v>
      </c>
      <c r="C6427" s="1" t="n">
        <v>45586</v>
      </c>
      <c r="D6427" t="inlineStr">
        <is>
          <t>VÄSTRA GÖTALANDS LÄN</t>
        </is>
      </c>
      <c r="E6427" t="inlineStr">
        <is>
          <t>TIBRO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41964-2021</t>
        </is>
      </c>
      <c r="B6428" s="1" t="n">
        <v>44426</v>
      </c>
      <c r="C6428" s="1" t="n">
        <v>45586</v>
      </c>
      <c r="D6428" t="inlineStr">
        <is>
          <t>VÄSTRA GÖTALANDS LÄN</t>
        </is>
      </c>
      <c r="E6428" t="inlineStr">
        <is>
          <t>ÅMÅL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41977-2021</t>
        </is>
      </c>
      <c r="B6429" s="1" t="n">
        <v>44426</v>
      </c>
      <c r="C6429" s="1" t="n">
        <v>45586</v>
      </c>
      <c r="D6429" t="inlineStr">
        <is>
          <t>VÄSTRA GÖTALANDS LÄN</t>
        </is>
      </c>
      <c r="E6429" t="inlineStr">
        <is>
          <t>GÖTENE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42048-2021</t>
        </is>
      </c>
      <c r="B6430" s="1" t="n">
        <v>44426</v>
      </c>
      <c r="C6430" s="1" t="n">
        <v>45586</v>
      </c>
      <c r="D6430" t="inlineStr">
        <is>
          <t>VÄSTRA GÖTALANDS LÄN</t>
        </is>
      </c>
      <c r="E6430" t="inlineStr">
        <is>
          <t>TIBRO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42080-2021</t>
        </is>
      </c>
      <c r="B6431" s="1" t="n">
        <v>44426</v>
      </c>
      <c r="C6431" s="1" t="n">
        <v>45586</v>
      </c>
      <c r="D6431" t="inlineStr">
        <is>
          <t>VÄSTRA GÖTALANDS LÄN</t>
        </is>
      </c>
      <c r="E6431" t="inlineStr">
        <is>
          <t>TANUM</t>
        </is>
      </c>
      <c r="F6431" t="inlineStr">
        <is>
          <t>Kyrkan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41921-2021</t>
        </is>
      </c>
      <c r="B6432" s="1" t="n">
        <v>44426</v>
      </c>
      <c r="C6432" s="1" t="n">
        <v>45586</v>
      </c>
      <c r="D6432" t="inlineStr">
        <is>
          <t>VÄSTRA GÖTALANDS LÄN</t>
        </is>
      </c>
      <c r="E6432" t="inlineStr">
        <is>
          <t>MUNKEDAL</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42097-2021</t>
        </is>
      </c>
      <c r="B6433" s="1" t="n">
        <v>44426</v>
      </c>
      <c r="C6433" s="1" t="n">
        <v>45586</v>
      </c>
      <c r="D6433" t="inlineStr">
        <is>
          <t>VÄSTRA GÖTALANDS LÄN</t>
        </is>
      </c>
      <c r="E6433" t="inlineStr">
        <is>
          <t>TANUM</t>
        </is>
      </c>
      <c r="F6433" t="inlineStr">
        <is>
          <t>Kyrkan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42161-2021</t>
        </is>
      </c>
      <c r="B6434" s="1" t="n">
        <v>44426</v>
      </c>
      <c r="C6434" s="1" t="n">
        <v>45586</v>
      </c>
      <c r="D6434" t="inlineStr">
        <is>
          <t>VÄSTRA GÖTALANDS LÄN</t>
        </is>
      </c>
      <c r="E6434" t="inlineStr">
        <is>
          <t>MARIESTAD</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42215-2021</t>
        </is>
      </c>
      <c r="B6435" s="1" t="n">
        <v>44426</v>
      </c>
      <c r="C6435" s="1" t="n">
        <v>45586</v>
      </c>
      <c r="D6435" t="inlineStr">
        <is>
          <t>VÄSTRA GÖTALANDS LÄN</t>
        </is>
      </c>
      <c r="E6435" t="inlineStr">
        <is>
          <t>TÖREBODA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42157-2021</t>
        </is>
      </c>
      <c r="B6436" s="1" t="n">
        <v>44426</v>
      </c>
      <c r="C6436" s="1" t="n">
        <v>45586</v>
      </c>
      <c r="D6436" t="inlineStr">
        <is>
          <t>VÄSTRA GÖTALANDS LÄN</t>
        </is>
      </c>
      <c r="E6436" t="inlineStr">
        <is>
          <t>BOLLEBYGD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42295-2021</t>
        </is>
      </c>
      <c r="B6437" s="1" t="n">
        <v>44427</v>
      </c>
      <c r="C6437" s="1" t="n">
        <v>45586</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42341-2021</t>
        </is>
      </c>
      <c r="B6438" s="1" t="n">
        <v>44427</v>
      </c>
      <c r="C6438" s="1" t="n">
        <v>45586</v>
      </c>
      <c r="D6438" t="inlineStr">
        <is>
          <t>VÄSTRA GÖTALANDS LÄN</t>
        </is>
      </c>
      <c r="E6438" t="inlineStr">
        <is>
          <t>DALS-ED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42350-2021</t>
        </is>
      </c>
      <c r="B6439" s="1" t="n">
        <v>44427</v>
      </c>
      <c r="C6439" s="1" t="n">
        <v>45586</v>
      </c>
      <c r="D6439" t="inlineStr">
        <is>
          <t>VÄSTRA GÖTALANDS LÄN</t>
        </is>
      </c>
      <c r="E6439" t="inlineStr">
        <is>
          <t>TÖREBODA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42451-2021</t>
        </is>
      </c>
      <c r="B6440" s="1" t="n">
        <v>44427</v>
      </c>
      <c r="C6440" s="1" t="n">
        <v>45586</v>
      </c>
      <c r="D6440" t="inlineStr">
        <is>
          <t>VÄSTRA GÖTALANDS LÄN</t>
        </is>
      </c>
      <c r="E6440" t="inlineStr">
        <is>
          <t>ALINGSÅS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42501-2021</t>
        </is>
      </c>
      <c r="B6441" s="1" t="n">
        <v>44427</v>
      </c>
      <c r="C6441" s="1" t="n">
        <v>45586</v>
      </c>
      <c r="D6441" t="inlineStr">
        <is>
          <t>VÄSTRA GÖTALANDS LÄN</t>
        </is>
      </c>
      <c r="E6441" t="inlineStr">
        <is>
          <t>KARLSBORG</t>
        </is>
      </c>
      <c r="F6441" t="inlineStr">
        <is>
          <t>Övriga Aktiebolag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42486-2021</t>
        </is>
      </c>
      <c r="B6442" s="1" t="n">
        <v>44427</v>
      </c>
      <c r="C6442" s="1" t="n">
        <v>45586</v>
      </c>
      <c r="D6442" t="inlineStr">
        <is>
          <t>VÄSTRA GÖTALANDS LÄN</t>
        </is>
      </c>
      <c r="E6442" t="inlineStr">
        <is>
          <t>VARA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42622-2021</t>
        </is>
      </c>
      <c r="B6443" s="1" t="n">
        <v>44428</v>
      </c>
      <c r="C6443" s="1" t="n">
        <v>45586</v>
      </c>
      <c r="D6443" t="inlineStr">
        <is>
          <t>VÄSTRA GÖTALANDS LÄN</t>
        </is>
      </c>
      <c r="E6443" t="inlineStr">
        <is>
          <t>MELLERUD</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42588-2021</t>
        </is>
      </c>
      <c r="B6444" s="1" t="n">
        <v>44428</v>
      </c>
      <c r="C6444" s="1" t="n">
        <v>45586</v>
      </c>
      <c r="D6444" t="inlineStr">
        <is>
          <t>VÄSTRA GÖTALANDS LÄN</t>
        </is>
      </c>
      <c r="E6444" t="inlineStr">
        <is>
          <t>DALS-ED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42640-2021</t>
        </is>
      </c>
      <c r="B6445" s="1" t="n">
        <v>44428</v>
      </c>
      <c r="C6445" s="1" t="n">
        <v>45586</v>
      </c>
      <c r="D6445" t="inlineStr">
        <is>
          <t>VÄSTRA GÖTALANDS LÄN</t>
        </is>
      </c>
      <c r="E6445" t="inlineStr">
        <is>
          <t>BENGTSFORS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42661-2021</t>
        </is>
      </c>
      <c r="B6446" s="1" t="n">
        <v>44428</v>
      </c>
      <c r="C6446" s="1" t="n">
        <v>45586</v>
      </c>
      <c r="D6446" t="inlineStr">
        <is>
          <t>VÄSTRA GÖTALANDS LÄN</t>
        </is>
      </c>
      <c r="E6446" t="inlineStr">
        <is>
          <t>KARLSBORG</t>
        </is>
      </c>
      <c r="F6446" t="inlineStr">
        <is>
          <t>Kyrkan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42900-2021</t>
        </is>
      </c>
      <c r="B6447" s="1" t="n">
        <v>44428</v>
      </c>
      <c r="C6447" s="1" t="n">
        <v>45586</v>
      </c>
      <c r="D6447" t="inlineStr">
        <is>
          <t>VÄSTRA GÖTALANDS LÄN</t>
        </is>
      </c>
      <c r="E6447" t="inlineStr">
        <is>
          <t>FALKÖPING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42869-2021</t>
        </is>
      </c>
      <c r="B6448" s="1" t="n">
        <v>44428</v>
      </c>
      <c r="C6448" s="1" t="n">
        <v>45586</v>
      </c>
      <c r="D6448" t="inlineStr">
        <is>
          <t>VÄSTRA GÖTALANDS LÄN</t>
        </is>
      </c>
      <c r="E6448" t="inlineStr">
        <is>
          <t>BENGTSFORS</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42886-2021</t>
        </is>
      </c>
      <c r="B6449" s="1" t="n">
        <v>44428</v>
      </c>
      <c r="C6449" s="1" t="n">
        <v>45586</v>
      </c>
      <c r="D6449" t="inlineStr">
        <is>
          <t>VÄSTRA GÖTALANDS LÄN</t>
        </is>
      </c>
      <c r="E6449" t="inlineStr">
        <is>
          <t>FALKÖPING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42923-2021</t>
        </is>
      </c>
      <c r="B6450" s="1" t="n">
        <v>44429</v>
      </c>
      <c r="C6450" s="1" t="n">
        <v>45586</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42919-2021</t>
        </is>
      </c>
      <c r="B6451" s="1" t="n">
        <v>44429</v>
      </c>
      <c r="C6451" s="1" t="n">
        <v>45586</v>
      </c>
      <c r="D6451" t="inlineStr">
        <is>
          <t>VÄSTRA GÖTALANDS LÄN</t>
        </is>
      </c>
      <c r="E6451" t="inlineStr">
        <is>
          <t>FALKÖPING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42822-2021</t>
        </is>
      </c>
      <c r="B6452" s="1" t="n">
        <v>44430</v>
      </c>
      <c r="C6452" s="1" t="n">
        <v>45586</v>
      </c>
      <c r="D6452" t="inlineStr">
        <is>
          <t>VÄSTRA GÖTALANDS LÄN</t>
        </is>
      </c>
      <c r="E6452" t="inlineStr">
        <is>
          <t>MARK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42863-2021</t>
        </is>
      </c>
      <c r="B6453" s="1" t="n">
        <v>44430</v>
      </c>
      <c r="C6453" s="1" t="n">
        <v>45586</v>
      </c>
      <c r="D6453" t="inlineStr">
        <is>
          <t>VÄSTRA GÖTALANDS LÄN</t>
        </is>
      </c>
      <c r="E6453" t="inlineStr">
        <is>
          <t>SKÖVDE</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42902-2021</t>
        </is>
      </c>
      <c r="B6454" s="1" t="n">
        <v>44431</v>
      </c>
      <c r="C6454" s="1" t="n">
        <v>45586</v>
      </c>
      <c r="D6454" t="inlineStr">
        <is>
          <t>VÄSTRA GÖTALANDS LÄN</t>
        </is>
      </c>
      <c r="E6454" t="inlineStr">
        <is>
          <t>VARA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42986-2021</t>
        </is>
      </c>
      <c r="B6455" s="1" t="n">
        <v>44431</v>
      </c>
      <c r="C6455" s="1" t="n">
        <v>45586</v>
      </c>
      <c r="D6455" t="inlineStr">
        <is>
          <t>VÄSTRA GÖTALANDS LÄN</t>
        </is>
      </c>
      <c r="E6455" t="inlineStr">
        <is>
          <t>HERRLJUNGA</t>
        </is>
      </c>
      <c r="F6455" t="inlineStr">
        <is>
          <t>Kyrkan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42877-2021</t>
        </is>
      </c>
      <c r="B6456" s="1" t="n">
        <v>44431</v>
      </c>
      <c r="C6456" s="1" t="n">
        <v>45586</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43053-2021</t>
        </is>
      </c>
      <c r="B6457" s="1" t="n">
        <v>44431</v>
      </c>
      <c r="C6457" s="1" t="n">
        <v>45586</v>
      </c>
      <c r="D6457" t="inlineStr">
        <is>
          <t>VÄSTRA GÖTALANDS LÄN</t>
        </is>
      </c>
      <c r="E6457" t="inlineStr">
        <is>
          <t>SOTENÄS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43021-2021</t>
        </is>
      </c>
      <c r="B6458" s="1" t="n">
        <v>44431</v>
      </c>
      <c r="C6458" s="1" t="n">
        <v>45586</v>
      </c>
      <c r="D6458" t="inlineStr">
        <is>
          <t>VÄSTRA GÖTALANDS LÄN</t>
        </is>
      </c>
      <c r="E6458" t="inlineStr">
        <is>
          <t>KARLSBORG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43056-2021</t>
        </is>
      </c>
      <c r="B6459" s="1" t="n">
        <v>44431</v>
      </c>
      <c r="C6459" s="1" t="n">
        <v>45586</v>
      </c>
      <c r="D6459" t="inlineStr">
        <is>
          <t>VÄSTRA GÖTALANDS LÄN</t>
        </is>
      </c>
      <c r="E6459" t="inlineStr">
        <is>
          <t>SOTENÄS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43168-2021</t>
        </is>
      </c>
      <c r="B6460" s="1" t="n">
        <v>44431</v>
      </c>
      <c r="C6460" s="1" t="n">
        <v>45586</v>
      </c>
      <c r="D6460" t="inlineStr">
        <is>
          <t>VÄSTRA GÖTALANDS LÄN</t>
        </is>
      </c>
      <c r="E6460" t="inlineStr">
        <is>
          <t>ÅMÅL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43170-2021</t>
        </is>
      </c>
      <c r="B6461" s="1" t="n">
        <v>44431</v>
      </c>
      <c r="C6461" s="1" t="n">
        <v>45586</v>
      </c>
      <c r="D6461" t="inlineStr">
        <is>
          <t>VÄSTRA GÖTALANDS LÄN</t>
        </is>
      </c>
      <c r="E6461" t="inlineStr">
        <is>
          <t>UDDEVALLA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43328-2021</t>
        </is>
      </c>
      <c r="B6462" s="1" t="n">
        <v>44431</v>
      </c>
      <c r="C6462" s="1" t="n">
        <v>45586</v>
      </c>
      <c r="D6462" t="inlineStr">
        <is>
          <t>VÄSTRA GÖTALANDS LÄN</t>
        </is>
      </c>
      <c r="E6462" t="inlineStr">
        <is>
          <t>TIDAHOLM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43338-2021</t>
        </is>
      </c>
      <c r="B6463" s="1" t="n">
        <v>44431</v>
      </c>
      <c r="C6463" s="1" t="n">
        <v>45586</v>
      </c>
      <c r="D6463" t="inlineStr">
        <is>
          <t>VÄSTRA GÖTALANDS LÄN</t>
        </is>
      </c>
      <c r="E6463" t="inlineStr">
        <is>
          <t>TIDAHOLM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43173-2021</t>
        </is>
      </c>
      <c r="B6464" s="1" t="n">
        <v>44431</v>
      </c>
      <c r="C6464" s="1" t="n">
        <v>45586</v>
      </c>
      <c r="D6464" t="inlineStr">
        <is>
          <t>VÄSTRA GÖTALANDS LÄN</t>
        </is>
      </c>
      <c r="E6464" t="inlineStr">
        <is>
          <t>UDDEVALLA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43336-2021</t>
        </is>
      </c>
      <c r="B6465" s="1" t="n">
        <v>44432</v>
      </c>
      <c r="C6465" s="1" t="n">
        <v>45586</v>
      </c>
      <c r="D6465" t="inlineStr">
        <is>
          <t>VÄSTRA GÖTALANDS LÄN</t>
        </is>
      </c>
      <c r="E6465" t="inlineStr">
        <is>
          <t>BENGTSFORS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43345-2021</t>
        </is>
      </c>
      <c r="B6466" s="1" t="n">
        <v>44432</v>
      </c>
      <c r="C6466" s="1" t="n">
        <v>45586</v>
      </c>
      <c r="D6466" t="inlineStr">
        <is>
          <t>VÄSTRA GÖTALANDS LÄN</t>
        </is>
      </c>
      <c r="E6466" t="inlineStr">
        <is>
          <t>GÖTENE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43352-2021</t>
        </is>
      </c>
      <c r="B6467" s="1" t="n">
        <v>44432</v>
      </c>
      <c r="C6467" s="1" t="n">
        <v>45586</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43356-2021</t>
        </is>
      </c>
      <c r="B6468" s="1" t="n">
        <v>44432</v>
      </c>
      <c r="C6468" s="1" t="n">
        <v>45586</v>
      </c>
      <c r="D6468" t="inlineStr">
        <is>
          <t>VÄSTRA GÖTALANDS LÄN</t>
        </is>
      </c>
      <c r="E6468" t="inlineStr">
        <is>
          <t>VARA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43374-2021</t>
        </is>
      </c>
      <c r="B6469" s="1" t="n">
        <v>44432</v>
      </c>
      <c r="C6469" s="1" t="n">
        <v>45586</v>
      </c>
      <c r="D6469" t="inlineStr">
        <is>
          <t>VÄSTRA GÖTALANDS LÄN</t>
        </is>
      </c>
      <c r="E6469" t="inlineStr">
        <is>
          <t>TROLLHÄTTAN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43350-2021</t>
        </is>
      </c>
      <c r="B6470" s="1" t="n">
        <v>44432</v>
      </c>
      <c r="C6470" s="1" t="n">
        <v>45586</v>
      </c>
      <c r="D6470" t="inlineStr">
        <is>
          <t>VÄSTRA GÖTALANDS LÄN</t>
        </is>
      </c>
      <c r="E6470" t="inlineStr">
        <is>
          <t>MARK</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43380-2021</t>
        </is>
      </c>
      <c r="B6471" s="1" t="n">
        <v>44432</v>
      </c>
      <c r="C6471" s="1" t="n">
        <v>45586</v>
      </c>
      <c r="D6471" t="inlineStr">
        <is>
          <t>VÄSTRA GÖTALANDS LÄN</t>
        </is>
      </c>
      <c r="E6471" t="inlineStr">
        <is>
          <t>DALS-ED</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43432-2021</t>
        </is>
      </c>
      <c r="B6472" s="1" t="n">
        <v>44432</v>
      </c>
      <c r="C6472" s="1" t="n">
        <v>45586</v>
      </c>
      <c r="D6472" t="inlineStr">
        <is>
          <t>VÄSTRA GÖTALANDS LÄN</t>
        </is>
      </c>
      <c r="E6472" t="inlineStr">
        <is>
          <t>SVENLJUNGA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43442-2021</t>
        </is>
      </c>
      <c r="B6473" s="1" t="n">
        <v>44432</v>
      </c>
      <c r="C6473" s="1" t="n">
        <v>45586</v>
      </c>
      <c r="D6473" t="inlineStr">
        <is>
          <t>VÄSTRA GÖTALANDS LÄN</t>
        </is>
      </c>
      <c r="E6473" t="inlineStr">
        <is>
          <t>MUNKEDAL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43430-2021</t>
        </is>
      </c>
      <c r="B6474" s="1" t="n">
        <v>44432</v>
      </c>
      <c r="C6474" s="1" t="n">
        <v>45586</v>
      </c>
      <c r="D6474" t="inlineStr">
        <is>
          <t>VÄSTRA GÖTALANDS LÄN</t>
        </is>
      </c>
      <c r="E6474" t="inlineStr">
        <is>
          <t>SVENLJUNGA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43438-2021</t>
        </is>
      </c>
      <c r="B6475" s="1" t="n">
        <v>44432</v>
      </c>
      <c r="C6475" s="1" t="n">
        <v>45586</v>
      </c>
      <c r="D6475" t="inlineStr">
        <is>
          <t>VÄSTRA GÖTALANDS LÄN</t>
        </is>
      </c>
      <c r="E6475" t="inlineStr">
        <is>
          <t>MUNKEDAL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43547-2021</t>
        </is>
      </c>
      <c r="B6476" s="1" t="n">
        <v>44432</v>
      </c>
      <c r="C6476" s="1" t="n">
        <v>45586</v>
      </c>
      <c r="D6476" t="inlineStr">
        <is>
          <t>VÄSTRA GÖTALANDS LÄN</t>
        </is>
      </c>
      <c r="E6476" t="inlineStr">
        <is>
          <t>MUNKEDAL</t>
        </is>
      </c>
      <c r="F6476" t="inlineStr">
        <is>
          <t>Övriga Aktiebolag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43528-2021</t>
        </is>
      </c>
      <c r="B6477" s="1" t="n">
        <v>44433</v>
      </c>
      <c r="C6477" s="1" t="n">
        <v>45586</v>
      </c>
      <c r="D6477" t="inlineStr">
        <is>
          <t>VÄSTRA GÖTALANDS LÄN</t>
        </is>
      </c>
      <c r="E6477" t="inlineStr">
        <is>
          <t>TÖREBODA</t>
        </is>
      </c>
      <c r="F6477" t="inlineStr">
        <is>
          <t>Sveaskog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43621-2021</t>
        </is>
      </c>
      <c r="B6478" s="1" t="n">
        <v>44433</v>
      </c>
      <c r="C6478" s="1" t="n">
        <v>45586</v>
      </c>
      <c r="D6478" t="inlineStr">
        <is>
          <t>VÄSTRA GÖTALANDS LÄN</t>
        </is>
      </c>
      <c r="E6478" t="inlineStr">
        <is>
          <t>VÄNERSBORG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43562-2021</t>
        </is>
      </c>
      <c r="B6479" s="1" t="n">
        <v>44433</v>
      </c>
      <c r="C6479" s="1" t="n">
        <v>45586</v>
      </c>
      <c r="D6479" t="inlineStr">
        <is>
          <t>VÄSTRA GÖTALANDS LÄN</t>
        </is>
      </c>
      <c r="E6479" t="inlineStr">
        <is>
          <t>MARIESTAD</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43550-2021</t>
        </is>
      </c>
      <c r="B6480" s="1" t="n">
        <v>44433</v>
      </c>
      <c r="C6480" s="1" t="n">
        <v>45586</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43608-2021</t>
        </is>
      </c>
      <c r="B6481" s="1" t="n">
        <v>44433</v>
      </c>
      <c r="C6481" s="1" t="n">
        <v>45586</v>
      </c>
      <c r="D6481" t="inlineStr">
        <is>
          <t>VÄSTRA GÖTALANDS LÄN</t>
        </is>
      </c>
      <c r="E6481" t="inlineStr">
        <is>
          <t>TRANEMO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43564-2021</t>
        </is>
      </c>
      <c r="B6482" s="1" t="n">
        <v>44433</v>
      </c>
      <c r="C6482" s="1" t="n">
        <v>45586</v>
      </c>
      <c r="D6482" t="inlineStr">
        <is>
          <t>VÄSTRA GÖTALANDS LÄN</t>
        </is>
      </c>
      <c r="E6482" t="inlineStr">
        <is>
          <t>SKARA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43599-2021</t>
        </is>
      </c>
      <c r="B6483" s="1" t="n">
        <v>44433</v>
      </c>
      <c r="C6483" s="1" t="n">
        <v>45586</v>
      </c>
      <c r="D6483" t="inlineStr">
        <is>
          <t>VÄSTRA GÖTALANDS LÄN</t>
        </is>
      </c>
      <c r="E6483" t="inlineStr">
        <is>
          <t>MUNKEDAL</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43732-2021</t>
        </is>
      </c>
      <c r="B6484" s="1" t="n">
        <v>44433</v>
      </c>
      <c r="C6484" s="1" t="n">
        <v>45586</v>
      </c>
      <c r="D6484" t="inlineStr">
        <is>
          <t>VÄSTRA GÖTALANDS LÄN</t>
        </is>
      </c>
      <c r="E6484" t="inlineStr">
        <is>
          <t>FALKÖPING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43723-2021</t>
        </is>
      </c>
      <c r="B6485" s="1" t="n">
        <v>44433</v>
      </c>
      <c r="C6485" s="1" t="n">
        <v>45586</v>
      </c>
      <c r="D6485" t="inlineStr">
        <is>
          <t>VÄSTRA GÖTALANDS LÄN</t>
        </is>
      </c>
      <c r="E6485" t="inlineStr">
        <is>
          <t>SVENLJUNGA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43733-2021</t>
        </is>
      </c>
      <c r="B6486" s="1" t="n">
        <v>44433</v>
      </c>
      <c r="C6486" s="1" t="n">
        <v>45586</v>
      </c>
      <c r="D6486" t="inlineStr">
        <is>
          <t>VÄSTRA GÖTALANDS LÄN</t>
        </is>
      </c>
      <c r="E6486" t="inlineStr">
        <is>
          <t>FALKÖPING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43749-2021</t>
        </is>
      </c>
      <c r="B6487" s="1" t="n">
        <v>44433</v>
      </c>
      <c r="C6487" s="1" t="n">
        <v>45586</v>
      </c>
      <c r="D6487" t="inlineStr">
        <is>
          <t>VÄSTRA GÖTALANDS LÄN</t>
        </is>
      </c>
      <c r="E6487" t="inlineStr">
        <is>
          <t>GULLSPÅNG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43812-2021</t>
        </is>
      </c>
      <c r="B6488" s="1" t="n">
        <v>44433</v>
      </c>
      <c r="C6488" s="1" t="n">
        <v>45586</v>
      </c>
      <c r="D6488" t="inlineStr">
        <is>
          <t>VÄSTRA GÖTALANDS LÄN</t>
        </is>
      </c>
      <c r="E6488" t="inlineStr">
        <is>
          <t>TIDAHOLM</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43728-2021</t>
        </is>
      </c>
      <c r="B6489" s="1" t="n">
        <v>44433</v>
      </c>
      <c r="C6489" s="1" t="n">
        <v>45586</v>
      </c>
      <c r="D6489" t="inlineStr">
        <is>
          <t>VÄSTRA GÖTALANDS LÄN</t>
        </is>
      </c>
      <c r="E6489" t="inlineStr">
        <is>
          <t>FALKÖPING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43685-2021</t>
        </is>
      </c>
      <c r="B6490" s="1" t="n">
        <v>44433</v>
      </c>
      <c r="C6490" s="1" t="n">
        <v>45586</v>
      </c>
      <c r="D6490" t="inlineStr">
        <is>
          <t>VÄSTRA GÖTALANDS LÄN</t>
        </is>
      </c>
      <c r="E6490" t="inlineStr">
        <is>
          <t>TANUM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43696-2021</t>
        </is>
      </c>
      <c r="B6491" s="1" t="n">
        <v>44433</v>
      </c>
      <c r="C6491" s="1" t="n">
        <v>45586</v>
      </c>
      <c r="D6491" t="inlineStr">
        <is>
          <t>VÄSTRA GÖTALANDS LÄN</t>
        </is>
      </c>
      <c r="E6491" t="inlineStr">
        <is>
          <t>BENGTSFORS</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43809-2021</t>
        </is>
      </c>
      <c r="B6492" s="1" t="n">
        <v>44433</v>
      </c>
      <c r="C6492" s="1" t="n">
        <v>45586</v>
      </c>
      <c r="D6492" t="inlineStr">
        <is>
          <t>VÄSTRA GÖTALANDS LÄN</t>
        </is>
      </c>
      <c r="E6492" t="inlineStr">
        <is>
          <t>ALINGSÅS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43889-2021</t>
        </is>
      </c>
      <c r="B6493" s="1" t="n">
        <v>44434</v>
      </c>
      <c r="C6493" s="1" t="n">
        <v>45586</v>
      </c>
      <c r="D6493" t="inlineStr">
        <is>
          <t>VÄSTRA GÖTALANDS LÄN</t>
        </is>
      </c>
      <c r="E6493" t="inlineStr">
        <is>
          <t>TANUM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43884-2021</t>
        </is>
      </c>
      <c r="B6494" s="1" t="n">
        <v>44434</v>
      </c>
      <c r="C6494" s="1" t="n">
        <v>45586</v>
      </c>
      <c r="D6494" t="inlineStr">
        <is>
          <t>VÄSTRA GÖTALANDS LÄN</t>
        </is>
      </c>
      <c r="E6494" t="inlineStr">
        <is>
          <t>TANUM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43997-2021</t>
        </is>
      </c>
      <c r="B6495" s="1" t="n">
        <v>44434</v>
      </c>
      <c r="C6495" s="1" t="n">
        <v>45586</v>
      </c>
      <c r="D6495" t="inlineStr">
        <is>
          <t>VÄSTRA GÖTALANDS LÄN</t>
        </is>
      </c>
      <c r="E6495" t="inlineStr">
        <is>
          <t>FALKÖPING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43917-2021</t>
        </is>
      </c>
      <c r="B6496" s="1" t="n">
        <v>44434</v>
      </c>
      <c r="C6496" s="1" t="n">
        <v>45586</v>
      </c>
      <c r="D6496" t="inlineStr">
        <is>
          <t>VÄSTRA GÖTALANDS LÄN</t>
        </is>
      </c>
      <c r="E6496" t="inlineStr">
        <is>
          <t>VÅRGÅRDA</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44001-2021</t>
        </is>
      </c>
      <c r="B6497" s="1" t="n">
        <v>44434</v>
      </c>
      <c r="C6497" s="1" t="n">
        <v>45586</v>
      </c>
      <c r="D6497" t="inlineStr">
        <is>
          <t>VÄSTRA GÖTALANDS LÄN</t>
        </is>
      </c>
      <c r="E6497" t="inlineStr">
        <is>
          <t>VÅRGÅRDA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44055-2021</t>
        </is>
      </c>
      <c r="B6498" s="1" t="n">
        <v>44434</v>
      </c>
      <c r="C6498" s="1" t="n">
        <v>45586</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44094-2021</t>
        </is>
      </c>
      <c r="B6499" s="1" t="n">
        <v>44434</v>
      </c>
      <c r="C6499" s="1" t="n">
        <v>45586</v>
      </c>
      <c r="D6499" t="inlineStr">
        <is>
          <t>VÄSTRA GÖTALANDS LÄN</t>
        </is>
      </c>
      <c r="E6499" t="inlineStr">
        <is>
          <t>TRANEMO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44133-2021</t>
        </is>
      </c>
      <c r="B6500" s="1" t="n">
        <v>44434</v>
      </c>
      <c r="C6500" s="1" t="n">
        <v>45586</v>
      </c>
      <c r="D6500" t="inlineStr">
        <is>
          <t>VÄSTRA GÖTALANDS LÄN</t>
        </is>
      </c>
      <c r="E6500" t="inlineStr">
        <is>
          <t>TRANEMO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44147-2021</t>
        </is>
      </c>
      <c r="B6501" s="1" t="n">
        <v>44434</v>
      </c>
      <c r="C6501" s="1" t="n">
        <v>45586</v>
      </c>
      <c r="D6501" t="inlineStr">
        <is>
          <t>VÄSTRA GÖTALANDS LÄN</t>
        </is>
      </c>
      <c r="E6501" t="inlineStr">
        <is>
          <t>SVENLJUNGA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44110-2021</t>
        </is>
      </c>
      <c r="B6502" s="1" t="n">
        <v>44434</v>
      </c>
      <c r="C6502" s="1" t="n">
        <v>45586</v>
      </c>
      <c r="D6502" t="inlineStr">
        <is>
          <t>VÄSTRA GÖTALANDS LÄN</t>
        </is>
      </c>
      <c r="E6502" t="inlineStr">
        <is>
          <t>TRANEMO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44072-2021</t>
        </is>
      </c>
      <c r="B6503" s="1" t="n">
        <v>44434</v>
      </c>
      <c r="C6503" s="1" t="n">
        <v>45586</v>
      </c>
      <c r="D6503" t="inlineStr">
        <is>
          <t>VÄSTRA GÖTALANDS LÄN</t>
        </is>
      </c>
      <c r="E6503" t="inlineStr">
        <is>
          <t>GULLSPÅNG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44408-2021</t>
        </is>
      </c>
      <c r="B6504" s="1" t="n">
        <v>44435</v>
      </c>
      <c r="C6504" s="1" t="n">
        <v>45586</v>
      </c>
      <c r="D6504" t="inlineStr">
        <is>
          <t>VÄSTRA GÖTALANDS LÄN</t>
        </is>
      </c>
      <c r="E6504" t="inlineStr">
        <is>
          <t>STRÖMSTAD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44403-2021</t>
        </is>
      </c>
      <c r="B6505" s="1" t="n">
        <v>44435</v>
      </c>
      <c r="C6505" s="1" t="n">
        <v>45586</v>
      </c>
      <c r="D6505" t="inlineStr">
        <is>
          <t>VÄSTRA GÖTALANDS LÄN</t>
        </is>
      </c>
      <c r="E6505" t="inlineStr">
        <is>
          <t>DALS-ED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44429-2021</t>
        </is>
      </c>
      <c r="B6506" s="1" t="n">
        <v>44435</v>
      </c>
      <c r="C6506" s="1" t="n">
        <v>45586</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44445-2021</t>
        </is>
      </c>
      <c r="B6507" s="1" t="n">
        <v>44435</v>
      </c>
      <c r="C6507" s="1" t="n">
        <v>45586</v>
      </c>
      <c r="D6507" t="inlineStr">
        <is>
          <t>VÄSTRA GÖTALANDS LÄN</t>
        </is>
      </c>
      <c r="E6507" t="inlineStr">
        <is>
          <t>MARK</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44466-2021</t>
        </is>
      </c>
      <c r="B6508" s="1" t="n">
        <v>44435</v>
      </c>
      <c r="C6508" s="1" t="n">
        <v>45586</v>
      </c>
      <c r="D6508" t="inlineStr">
        <is>
          <t>VÄSTRA GÖTALANDS LÄN</t>
        </is>
      </c>
      <c r="E6508" t="inlineStr">
        <is>
          <t>LYSEKIL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44488-2021</t>
        </is>
      </c>
      <c r="B6509" s="1" t="n">
        <v>44435</v>
      </c>
      <c r="C6509" s="1" t="n">
        <v>45586</v>
      </c>
      <c r="D6509" t="inlineStr">
        <is>
          <t>VÄSTRA GÖTALANDS LÄN</t>
        </is>
      </c>
      <c r="E6509" t="inlineStr">
        <is>
          <t>TRANEMO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44559-2021</t>
        </is>
      </c>
      <c r="B6510" s="1" t="n">
        <v>44435</v>
      </c>
      <c r="C6510" s="1" t="n">
        <v>45586</v>
      </c>
      <c r="D6510" t="inlineStr">
        <is>
          <t>VÄSTRA GÖTALANDS LÄN</t>
        </is>
      </c>
      <c r="E6510" t="inlineStr">
        <is>
          <t>TRANEMO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44620-2021</t>
        </is>
      </c>
      <c r="B6511" s="1" t="n">
        <v>44436</v>
      </c>
      <c r="C6511" s="1" t="n">
        <v>45586</v>
      </c>
      <c r="D6511" t="inlineStr">
        <is>
          <t>VÄSTRA GÖTALANDS LÄN</t>
        </is>
      </c>
      <c r="E6511" t="inlineStr">
        <is>
          <t>MUNKEDAL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44643-2021</t>
        </is>
      </c>
      <c r="B6512" s="1" t="n">
        <v>44437</v>
      </c>
      <c r="C6512" s="1" t="n">
        <v>45586</v>
      </c>
      <c r="D6512" t="inlineStr">
        <is>
          <t>VÄSTRA GÖTALANDS LÄN</t>
        </is>
      </c>
      <c r="E6512" t="inlineStr">
        <is>
          <t>GULLSPÅNG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44642-2021</t>
        </is>
      </c>
      <c r="B6513" s="1" t="n">
        <v>44437</v>
      </c>
      <c r="C6513" s="1" t="n">
        <v>45586</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44644-2021</t>
        </is>
      </c>
      <c r="B6514" s="1" t="n">
        <v>44437</v>
      </c>
      <c r="C6514" s="1" t="n">
        <v>45586</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44736-2021</t>
        </is>
      </c>
      <c r="B6515" s="1" t="n">
        <v>44438</v>
      </c>
      <c r="C6515" s="1" t="n">
        <v>45586</v>
      </c>
      <c r="D6515" t="inlineStr">
        <is>
          <t>VÄSTRA GÖTALANDS LÄN</t>
        </is>
      </c>
      <c r="E6515" t="inlineStr">
        <is>
          <t>VÄNERSBORG</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44703-2021</t>
        </is>
      </c>
      <c r="B6516" s="1" t="n">
        <v>44438</v>
      </c>
      <c r="C6516" s="1" t="n">
        <v>45586</v>
      </c>
      <c r="D6516" t="inlineStr">
        <is>
          <t>VÄSTRA GÖTALANDS LÄN</t>
        </is>
      </c>
      <c r="E6516" t="inlineStr">
        <is>
          <t>BORÅS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44812-2021</t>
        </is>
      </c>
      <c r="B6517" s="1" t="n">
        <v>44438</v>
      </c>
      <c r="C6517" s="1" t="n">
        <v>45586</v>
      </c>
      <c r="D6517" t="inlineStr">
        <is>
          <t>VÄSTRA GÖTALANDS LÄN</t>
        </is>
      </c>
      <c r="E6517" t="inlineStr">
        <is>
          <t>TANUM</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44687-2021</t>
        </is>
      </c>
      <c r="B6518" s="1" t="n">
        <v>44438</v>
      </c>
      <c r="C6518" s="1" t="n">
        <v>45586</v>
      </c>
      <c r="D6518" t="inlineStr">
        <is>
          <t>VÄSTRA GÖTALANDS LÄN</t>
        </is>
      </c>
      <c r="E6518" t="inlineStr">
        <is>
          <t>TANUM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44707-2021</t>
        </is>
      </c>
      <c r="B6519" s="1" t="n">
        <v>44438</v>
      </c>
      <c r="C6519" s="1" t="n">
        <v>45586</v>
      </c>
      <c r="D6519" t="inlineStr">
        <is>
          <t>VÄSTRA GÖTALANDS LÄN</t>
        </is>
      </c>
      <c r="E6519" t="inlineStr">
        <is>
          <t>GULLSPÅNG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44725-2021</t>
        </is>
      </c>
      <c r="B6520" s="1" t="n">
        <v>44438</v>
      </c>
      <c r="C6520" s="1" t="n">
        <v>45586</v>
      </c>
      <c r="D6520" t="inlineStr">
        <is>
          <t>VÄSTRA GÖTALANDS LÄN</t>
        </is>
      </c>
      <c r="E6520" t="inlineStr">
        <is>
          <t>TANUM</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44682-2021</t>
        </is>
      </c>
      <c r="B6521" s="1" t="n">
        <v>44438</v>
      </c>
      <c r="C6521" s="1" t="n">
        <v>45586</v>
      </c>
      <c r="D6521" t="inlineStr">
        <is>
          <t>VÄSTRA GÖTALANDS LÄN</t>
        </is>
      </c>
      <c r="E6521" t="inlineStr">
        <is>
          <t>TRANEMO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44785-2021</t>
        </is>
      </c>
      <c r="B6522" s="1" t="n">
        <v>44438</v>
      </c>
      <c r="C6522" s="1" t="n">
        <v>45586</v>
      </c>
      <c r="D6522" t="inlineStr">
        <is>
          <t>VÄSTRA GÖTALANDS LÄN</t>
        </is>
      </c>
      <c r="E6522" t="inlineStr">
        <is>
          <t>GRÄSTORP</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44833-2021</t>
        </is>
      </c>
      <c r="B6523" s="1" t="n">
        <v>44438</v>
      </c>
      <c r="C6523" s="1" t="n">
        <v>45586</v>
      </c>
      <c r="D6523" t="inlineStr">
        <is>
          <t>VÄSTRA GÖTALANDS LÄN</t>
        </is>
      </c>
      <c r="E6523" t="inlineStr">
        <is>
          <t>MELLERUD</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44883-2021</t>
        </is>
      </c>
      <c r="B6524" s="1" t="n">
        <v>44438</v>
      </c>
      <c r="C6524" s="1" t="n">
        <v>45586</v>
      </c>
      <c r="D6524" t="inlineStr">
        <is>
          <t>VÄSTRA GÖTALANDS LÄN</t>
        </is>
      </c>
      <c r="E6524" t="inlineStr">
        <is>
          <t>STRÖMSTAD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44893-2021</t>
        </is>
      </c>
      <c r="B6525" s="1" t="n">
        <v>44438</v>
      </c>
      <c r="C6525" s="1" t="n">
        <v>45586</v>
      </c>
      <c r="D6525" t="inlineStr">
        <is>
          <t>VÄSTRA GÖTALANDS LÄN</t>
        </is>
      </c>
      <c r="E6525" t="inlineStr">
        <is>
          <t>MUNKEDAL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44965-2021</t>
        </is>
      </c>
      <c r="B6526" s="1" t="n">
        <v>44438</v>
      </c>
      <c r="C6526" s="1" t="n">
        <v>45586</v>
      </c>
      <c r="D6526" t="inlineStr">
        <is>
          <t>VÄSTRA GÖTALANDS LÄN</t>
        </is>
      </c>
      <c r="E6526" t="inlineStr">
        <is>
          <t>HJO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44910-2021</t>
        </is>
      </c>
      <c r="B6527" s="1" t="n">
        <v>44438</v>
      </c>
      <c r="C6527" s="1" t="n">
        <v>45586</v>
      </c>
      <c r="D6527" t="inlineStr">
        <is>
          <t>VÄSTRA GÖTALANDS LÄN</t>
        </is>
      </c>
      <c r="E6527" t="inlineStr">
        <is>
          <t>TROLLHÄTTAN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44996-2021</t>
        </is>
      </c>
      <c r="B6528" s="1" t="n">
        <v>44438</v>
      </c>
      <c r="C6528" s="1" t="n">
        <v>45586</v>
      </c>
      <c r="D6528" t="inlineStr">
        <is>
          <t>VÄSTRA GÖTALANDS LÄN</t>
        </is>
      </c>
      <c r="E6528" t="inlineStr">
        <is>
          <t>LIDKÖPING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44887-2021</t>
        </is>
      </c>
      <c r="B6529" s="1" t="n">
        <v>44438</v>
      </c>
      <c r="C6529" s="1" t="n">
        <v>45586</v>
      </c>
      <c r="D6529" t="inlineStr">
        <is>
          <t>VÄSTRA GÖTALANDS LÄN</t>
        </is>
      </c>
      <c r="E6529" t="inlineStr">
        <is>
          <t>ÅMÅL</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45001-2021</t>
        </is>
      </c>
      <c r="B6530" s="1" t="n">
        <v>44439</v>
      </c>
      <c r="C6530" s="1" t="n">
        <v>45586</v>
      </c>
      <c r="D6530" t="inlineStr">
        <is>
          <t>VÄSTRA GÖTALANDS LÄN</t>
        </is>
      </c>
      <c r="E6530" t="inlineStr">
        <is>
          <t>LIDKÖPING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44863-2021</t>
        </is>
      </c>
      <c r="B6531" s="1" t="n">
        <v>44438</v>
      </c>
      <c r="C6531" s="1" t="n">
        <v>45586</v>
      </c>
      <c r="D6531" t="inlineStr">
        <is>
          <t>VÄSTRA GÖTALANDS LÄN</t>
        </is>
      </c>
      <c r="E6531" t="inlineStr">
        <is>
          <t>GULLSPÅNG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44884-2021</t>
        </is>
      </c>
      <c r="B6532" s="1" t="n">
        <v>44438</v>
      </c>
      <c r="C6532" s="1" t="n">
        <v>45586</v>
      </c>
      <c r="D6532" t="inlineStr">
        <is>
          <t>VÄSTRA GÖTALANDS LÄN</t>
        </is>
      </c>
      <c r="E6532" t="inlineStr">
        <is>
          <t>MELLERUD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44895-2021</t>
        </is>
      </c>
      <c r="B6533" s="1" t="n">
        <v>44438</v>
      </c>
      <c r="C6533" s="1" t="n">
        <v>45586</v>
      </c>
      <c r="D6533" t="inlineStr">
        <is>
          <t>VÄSTRA GÖTALANDS LÄN</t>
        </is>
      </c>
      <c r="E6533" t="inlineStr">
        <is>
          <t>ÅMÅL</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45045-2021</t>
        </is>
      </c>
      <c r="B6534" s="1" t="n">
        <v>44438</v>
      </c>
      <c r="C6534" s="1" t="n">
        <v>45586</v>
      </c>
      <c r="D6534" t="inlineStr">
        <is>
          <t>VÄSTRA GÖTALANDS LÄN</t>
        </is>
      </c>
      <c r="E6534" t="inlineStr">
        <is>
          <t>TIDAHOLM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45056-2021</t>
        </is>
      </c>
      <c r="B6535" s="1" t="n">
        <v>44439</v>
      </c>
      <c r="C6535" s="1" t="n">
        <v>45586</v>
      </c>
      <c r="D6535" t="inlineStr">
        <is>
          <t>VÄSTRA GÖTALANDS LÄN</t>
        </is>
      </c>
      <c r="E6535" t="inlineStr">
        <is>
          <t>GULLSPÅNG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45062-2021</t>
        </is>
      </c>
      <c r="B6536" s="1" t="n">
        <v>44439</v>
      </c>
      <c r="C6536" s="1" t="n">
        <v>45586</v>
      </c>
      <c r="D6536" t="inlineStr">
        <is>
          <t>VÄSTRA GÖTALANDS LÄN</t>
        </is>
      </c>
      <c r="E6536" t="inlineStr">
        <is>
          <t>GULLSPÅNG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45048-2021</t>
        </is>
      </c>
      <c r="B6537" s="1" t="n">
        <v>44439</v>
      </c>
      <c r="C6537" s="1" t="n">
        <v>45586</v>
      </c>
      <c r="D6537" t="inlineStr">
        <is>
          <t>VÄSTRA GÖTALANDS LÄN</t>
        </is>
      </c>
      <c r="E6537" t="inlineStr">
        <is>
          <t>SKÖVDE</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45075-2021</t>
        </is>
      </c>
      <c r="B6538" s="1" t="n">
        <v>44439</v>
      </c>
      <c r="C6538" s="1" t="n">
        <v>45586</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45088-2021</t>
        </is>
      </c>
      <c r="B6539" s="1" t="n">
        <v>44439</v>
      </c>
      <c r="C6539" s="1" t="n">
        <v>45586</v>
      </c>
      <c r="D6539" t="inlineStr">
        <is>
          <t>VÄSTRA GÖTALANDS LÄN</t>
        </is>
      </c>
      <c r="E6539" t="inlineStr">
        <is>
          <t>ORUST</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v>
      </c>
      <c r="C6540" s="1" t="n">
        <v>45586</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45101-2021</t>
        </is>
      </c>
      <c r="B6541" s="1" t="n">
        <v>44439</v>
      </c>
      <c r="C6541" s="1" t="n">
        <v>45586</v>
      </c>
      <c r="D6541" t="inlineStr">
        <is>
          <t>VÄSTRA GÖTALANDS LÄN</t>
        </is>
      </c>
      <c r="E6541" t="inlineStr">
        <is>
          <t>GULLSPÅNG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45162-2021</t>
        </is>
      </c>
      <c r="B6542" s="1" t="n">
        <v>44439</v>
      </c>
      <c r="C6542" s="1" t="n">
        <v>45586</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45123-2021</t>
        </is>
      </c>
      <c r="B6543" s="1" t="n">
        <v>44439</v>
      </c>
      <c r="C6543" s="1" t="n">
        <v>45586</v>
      </c>
      <c r="D6543" t="inlineStr">
        <is>
          <t>VÄSTRA GÖTALANDS LÄN</t>
        </is>
      </c>
      <c r="E6543" t="inlineStr">
        <is>
          <t>MUNKEDAL</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45044-2021</t>
        </is>
      </c>
      <c r="B6544" s="1" t="n">
        <v>44439</v>
      </c>
      <c r="C6544" s="1" t="n">
        <v>45586</v>
      </c>
      <c r="D6544" t="inlineStr">
        <is>
          <t>VÄSTRA GÖTALANDS LÄN</t>
        </is>
      </c>
      <c r="E6544" t="inlineStr">
        <is>
          <t>ORUST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45060-2021</t>
        </is>
      </c>
      <c r="B6545" s="1" t="n">
        <v>44439</v>
      </c>
      <c r="C6545" s="1" t="n">
        <v>45586</v>
      </c>
      <c r="D6545" t="inlineStr">
        <is>
          <t>VÄSTRA GÖTALANDS LÄN</t>
        </is>
      </c>
      <c r="E6545" t="inlineStr">
        <is>
          <t>MELLERUD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45068-2021</t>
        </is>
      </c>
      <c r="B6546" s="1" t="n">
        <v>44439</v>
      </c>
      <c r="C6546" s="1" t="n">
        <v>45586</v>
      </c>
      <c r="D6546" t="inlineStr">
        <is>
          <t>VÄSTRA GÖTALANDS LÄN</t>
        </is>
      </c>
      <c r="E6546" t="inlineStr">
        <is>
          <t>TANUM</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45103-2021</t>
        </is>
      </c>
      <c r="B6547" s="1" t="n">
        <v>44439</v>
      </c>
      <c r="C6547" s="1" t="n">
        <v>45586</v>
      </c>
      <c r="D6547" t="inlineStr">
        <is>
          <t>VÄSTRA GÖTALANDS LÄN</t>
        </is>
      </c>
      <c r="E6547" t="inlineStr">
        <is>
          <t>GULLSPÅNG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45210-2021</t>
        </is>
      </c>
      <c r="B6548" s="1" t="n">
        <v>44439</v>
      </c>
      <c r="C6548" s="1" t="n">
        <v>45586</v>
      </c>
      <c r="D6548" t="inlineStr">
        <is>
          <t>VÄSTRA GÖTALANDS LÄN</t>
        </is>
      </c>
      <c r="E6548" t="inlineStr">
        <is>
          <t>SVENLJUNGA</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45215-2021</t>
        </is>
      </c>
      <c r="B6549" s="1" t="n">
        <v>44439</v>
      </c>
      <c r="C6549" s="1" t="n">
        <v>45586</v>
      </c>
      <c r="D6549" t="inlineStr">
        <is>
          <t>VÄSTRA GÖTALANDS LÄN</t>
        </is>
      </c>
      <c r="E6549" t="inlineStr">
        <is>
          <t>MUNKEDAL</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45222-2021</t>
        </is>
      </c>
      <c r="B6550" s="1" t="n">
        <v>44439</v>
      </c>
      <c r="C6550" s="1" t="n">
        <v>45586</v>
      </c>
      <c r="D6550" t="inlineStr">
        <is>
          <t>VÄSTRA GÖTALANDS LÄN</t>
        </is>
      </c>
      <c r="E6550" t="inlineStr">
        <is>
          <t>MUNKEDAL</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45223-2021</t>
        </is>
      </c>
      <c r="B6551" s="1" t="n">
        <v>44439</v>
      </c>
      <c r="C6551" s="1" t="n">
        <v>45586</v>
      </c>
      <c r="D6551" t="inlineStr">
        <is>
          <t>VÄSTRA GÖTALANDS LÄN</t>
        </is>
      </c>
      <c r="E6551" t="inlineStr">
        <is>
          <t>STRÖMSTAD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45247-2021</t>
        </is>
      </c>
      <c r="B6552" s="1" t="n">
        <v>44439</v>
      </c>
      <c r="C6552" s="1" t="n">
        <v>45586</v>
      </c>
      <c r="D6552" t="inlineStr">
        <is>
          <t>VÄSTRA GÖTALANDS LÄN</t>
        </is>
      </c>
      <c r="E6552" t="inlineStr">
        <is>
          <t>BORÅS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45328-2021</t>
        </is>
      </c>
      <c r="B6553" s="1" t="n">
        <v>44439</v>
      </c>
      <c r="C6553" s="1" t="n">
        <v>45586</v>
      </c>
      <c r="D6553" t="inlineStr">
        <is>
          <t>VÄSTRA GÖTALANDS LÄN</t>
        </is>
      </c>
      <c r="E6553" t="inlineStr">
        <is>
          <t>ALINGSÅS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45224-2021</t>
        </is>
      </c>
      <c r="B6554" s="1" t="n">
        <v>44439</v>
      </c>
      <c r="C6554" s="1" t="n">
        <v>45586</v>
      </c>
      <c r="D6554" t="inlineStr">
        <is>
          <t>VÄSTRA GÖTALANDS LÄN</t>
        </is>
      </c>
      <c r="E6554" t="inlineStr">
        <is>
          <t>KARLSBORG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45268-2021</t>
        </is>
      </c>
      <c r="B6555" s="1" t="n">
        <v>44439</v>
      </c>
      <c r="C6555" s="1" t="n">
        <v>45586</v>
      </c>
      <c r="D6555" t="inlineStr">
        <is>
          <t>VÄSTRA GÖTALANDS LÄN</t>
        </is>
      </c>
      <c r="E6555" t="inlineStr">
        <is>
          <t>FÄRGELANDA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45150-2021</t>
        </is>
      </c>
      <c r="B6556" s="1" t="n">
        <v>44439</v>
      </c>
      <c r="C6556" s="1" t="n">
        <v>45586</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45420-2021</t>
        </is>
      </c>
      <c r="B6557" s="1" t="n">
        <v>44440</v>
      </c>
      <c r="C6557" s="1" t="n">
        <v>45586</v>
      </c>
      <c r="D6557" t="inlineStr">
        <is>
          <t>VÄSTRA GÖTALANDS LÄN</t>
        </is>
      </c>
      <c r="E6557" t="inlineStr">
        <is>
          <t>BENGTSFORS</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45483-2021</t>
        </is>
      </c>
      <c r="B6558" s="1" t="n">
        <v>44440</v>
      </c>
      <c r="C6558" s="1" t="n">
        <v>45586</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45508-2021</t>
        </is>
      </c>
      <c r="B6559" s="1" t="n">
        <v>44440</v>
      </c>
      <c r="C6559" s="1" t="n">
        <v>45586</v>
      </c>
      <c r="D6559" t="inlineStr">
        <is>
          <t>VÄSTRA GÖTALANDS LÄN</t>
        </is>
      </c>
      <c r="E6559" t="inlineStr">
        <is>
          <t>VÅRGÅRDA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45520-2021</t>
        </is>
      </c>
      <c r="B6560" s="1" t="n">
        <v>44440</v>
      </c>
      <c r="C6560" s="1" t="n">
        <v>45586</v>
      </c>
      <c r="D6560" t="inlineStr">
        <is>
          <t>VÄSTRA GÖTALANDS LÄN</t>
        </is>
      </c>
      <c r="E6560" t="inlineStr">
        <is>
          <t>MARIESTAD</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45465-2021</t>
        </is>
      </c>
      <c r="B6561" s="1" t="n">
        <v>44440</v>
      </c>
      <c r="C6561" s="1" t="n">
        <v>45586</v>
      </c>
      <c r="D6561" t="inlineStr">
        <is>
          <t>VÄSTRA GÖTALANDS LÄN</t>
        </is>
      </c>
      <c r="E6561" t="inlineStr">
        <is>
          <t>MELLERUD</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45480-2021</t>
        </is>
      </c>
      <c r="B6562" s="1" t="n">
        <v>44440</v>
      </c>
      <c r="C6562" s="1" t="n">
        <v>45586</v>
      </c>
      <c r="D6562" t="inlineStr">
        <is>
          <t>VÄSTRA GÖTALANDS LÄN</t>
        </is>
      </c>
      <c r="E6562" t="inlineStr">
        <is>
          <t>SVENLJUNGA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45612-2021</t>
        </is>
      </c>
      <c r="B6563" s="1" t="n">
        <v>44440</v>
      </c>
      <c r="C6563" s="1" t="n">
        <v>45586</v>
      </c>
      <c r="D6563" t="inlineStr">
        <is>
          <t>VÄSTRA GÖTALANDS LÄN</t>
        </is>
      </c>
      <c r="E6563" t="inlineStr">
        <is>
          <t>GULLSPÅNG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45665-2021</t>
        </is>
      </c>
      <c r="B6564" s="1" t="n">
        <v>44441</v>
      </c>
      <c r="C6564" s="1" t="n">
        <v>45586</v>
      </c>
      <c r="D6564" t="inlineStr">
        <is>
          <t>VÄSTRA GÖTALANDS LÄN</t>
        </is>
      </c>
      <c r="E6564" t="inlineStr">
        <is>
          <t>TIBRO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45746-2021</t>
        </is>
      </c>
      <c r="B6565" s="1" t="n">
        <v>44441</v>
      </c>
      <c r="C6565" s="1" t="n">
        <v>45586</v>
      </c>
      <c r="D6565" t="inlineStr">
        <is>
          <t>VÄSTRA GÖTALANDS LÄN</t>
        </is>
      </c>
      <c r="E6565" t="inlineStr">
        <is>
          <t>MELLERUD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45729-2021</t>
        </is>
      </c>
      <c r="B6566" s="1" t="n">
        <v>44441</v>
      </c>
      <c r="C6566" s="1" t="n">
        <v>45586</v>
      </c>
      <c r="D6566" t="inlineStr">
        <is>
          <t>VÄSTRA GÖTALANDS LÄN</t>
        </is>
      </c>
      <c r="E6566" t="inlineStr">
        <is>
          <t>ORUST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45747-2021</t>
        </is>
      </c>
      <c r="B6567" s="1" t="n">
        <v>44441</v>
      </c>
      <c r="C6567" s="1" t="n">
        <v>45586</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45666-2021</t>
        </is>
      </c>
      <c r="B6568" s="1" t="n">
        <v>44441</v>
      </c>
      <c r="C6568" s="1" t="n">
        <v>45586</v>
      </c>
      <c r="D6568" t="inlineStr">
        <is>
          <t>VÄSTRA GÖTALANDS LÄN</t>
        </is>
      </c>
      <c r="E6568" t="inlineStr">
        <is>
          <t>ULRICEHAMN</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45732-2021</t>
        </is>
      </c>
      <c r="B6569" s="1" t="n">
        <v>44441</v>
      </c>
      <c r="C6569" s="1" t="n">
        <v>45586</v>
      </c>
      <c r="D6569" t="inlineStr">
        <is>
          <t>VÄSTRA GÖTALANDS LÄN</t>
        </is>
      </c>
      <c r="E6569" t="inlineStr">
        <is>
          <t>BENGTSFORS</t>
        </is>
      </c>
      <c r="F6569" t="inlineStr">
        <is>
          <t>Kyrkan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45808-2021</t>
        </is>
      </c>
      <c r="B6570" s="1" t="n">
        <v>44441</v>
      </c>
      <c r="C6570" s="1" t="n">
        <v>45586</v>
      </c>
      <c r="D6570" t="inlineStr">
        <is>
          <t>VÄSTRA GÖTALANDS LÄN</t>
        </is>
      </c>
      <c r="E6570" t="inlineStr">
        <is>
          <t>VÄNERSBORG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45829-2021</t>
        </is>
      </c>
      <c r="B6571" s="1" t="n">
        <v>44441</v>
      </c>
      <c r="C6571" s="1" t="n">
        <v>45586</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45842-2021</t>
        </is>
      </c>
      <c r="B6572" s="1" t="n">
        <v>44441</v>
      </c>
      <c r="C6572" s="1" t="n">
        <v>45586</v>
      </c>
      <c r="D6572" t="inlineStr">
        <is>
          <t>VÄSTRA GÖTALANDS LÄN</t>
        </is>
      </c>
      <c r="E6572" t="inlineStr">
        <is>
          <t>BENGTSFORS</t>
        </is>
      </c>
      <c r="F6572" t="inlineStr">
        <is>
          <t>Övriga Aktiebolag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46040-2021</t>
        </is>
      </c>
      <c r="B6573" s="1" t="n">
        <v>44441</v>
      </c>
      <c r="C6573" s="1" t="n">
        <v>45586</v>
      </c>
      <c r="D6573" t="inlineStr">
        <is>
          <t>VÄSTRA GÖTALANDS LÄN</t>
        </is>
      </c>
      <c r="E6573" t="inlineStr">
        <is>
          <t>FÄRGELANDA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45780-2021</t>
        </is>
      </c>
      <c r="B6574" s="1" t="n">
        <v>44441</v>
      </c>
      <c r="C6574" s="1" t="n">
        <v>45586</v>
      </c>
      <c r="D6574" t="inlineStr">
        <is>
          <t>VÄSTRA GÖTALANDS LÄN</t>
        </is>
      </c>
      <c r="E6574" t="inlineStr">
        <is>
          <t>STRÖMSTAD</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45832-2021</t>
        </is>
      </c>
      <c r="B6575" s="1" t="n">
        <v>44441</v>
      </c>
      <c r="C6575" s="1" t="n">
        <v>45586</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45855-2021</t>
        </is>
      </c>
      <c r="B6576" s="1" t="n">
        <v>44441</v>
      </c>
      <c r="C6576" s="1" t="n">
        <v>45586</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45833-2021</t>
        </is>
      </c>
      <c r="B6577" s="1" t="n">
        <v>44441</v>
      </c>
      <c r="C6577" s="1" t="n">
        <v>45586</v>
      </c>
      <c r="D6577" t="inlineStr">
        <is>
          <t>VÄSTRA GÖTALANDS LÄN</t>
        </is>
      </c>
      <c r="E6577" t="inlineStr">
        <is>
          <t>HERRLJUNGA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45847-2021</t>
        </is>
      </c>
      <c r="B6578" s="1" t="n">
        <v>44441</v>
      </c>
      <c r="C6578" s="1" t="n">
        <v>45586</v>
      </c>
      <c r="D6578" t="inlineStr">
        <is>
          <t>VÄSTRA GÖTALANDS LÄN</t>
        </is>
      </c>
      <c r="E6578" t="inlineStr">
        <is>
          <t>BENGTSFORS</t>
        </is>
      </c>
      <c r="F6578" t="inlineStr">
        <is>
          <t>Övriga Aktiebolag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45943-2021</t>
        </is>
      </c>
      <c r="B6579" s="1" t="n">
        <v>44441</v>
      </c>
      <c r="C6579" s="1" t="n">
        <v>45586</v>
      </c>
      <c r="D6579" t="inlineStr">
        <is>
          <t>VÄSTRA GÖTALANDS LÄN</t>
        </is>
      </c>
      <c r="E6579" t="inlineStr">
        <is>
          <t>VARA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46017-2021</t>
        </is>
      </c>
      <c r="B6580" s="1" t="n">
        <v>44441</v>
      </c>
      <c r="C6580" s="1" t="n">
        <v>45586</v>
      </c>
      <c r="D6580" t="inlineStr">
        <is>
          <t>VÄSTRA GÖTALANDS LÄN</t>
        </is>
      </c>
      <c r="E6580" t="inlineStr">
        <is>
          <t>MARK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45986-2021</t>
        </is>
      </c>
      <c r="B6581" s="1" t="n">
        <v>44441</v>
      </c>
      <c r="C6581" s="1" t="n">
        <v>45586</v>
      </c>
      <c r="D6581" t="inlineStr">
        <is>
          <t>VÄSTRA GÖTALANDS LÄN</t>
        </is>
      </c>
      <c r="E6581" t="inlineStr">
        <is>
          <t>ALE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46041-2021</t>
        </is>
      </c>
      <c r="B6582" s="1" t="n">
        <v>44442</v>
      </c>
      <c r="C6582" s="1" t="n">
        <v>45586</v>
      </c>
      <c r="D6582" t="inlineStr">
        <is>
          <t>VÄSTRA GÖTALANDS LÄN</t>
        </is>
      </c>
      <c r="E6582" t="inlineStr">
        <is>
          <t>FÄRGELANDA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46068-2021</t>
        </is>
      </c>
      <c r="B6583" s="1" t="n">
        <v>44441</v>
      </c>
      <c r="C6583" s="1" t="n">
        <v>45586</v>
      </c>
      <c r="D6583" t="inlineStr">
        <is>
          <t>VÄSTRA GÖTALANDS LÄN</t>
        </is>
      </c>
      <c r="E6583" t="inlineStr">
        <is>
          <t>MUNKEDAL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45988-2021</t>
        </is>
      </c>
      <c r="B6584" s="1" t="n">
        <v>44441</v>
      </c>
      <c r="C6584" s="1" t="n">
        <v>45586</v>
      </c>
      <c r="D6584" t="inlineStr">
        <is>
          <t>VÄSTRA GÖTALANDS LÄN</t>
        </is>
      </c>
      <c r="E6584" t="inlineStr">
        <is>
          <t>ALE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45908-2021</t>
        </is>
      </c>
      <c r="B6585" s="1" t="n">
        <v>44441</v>
      </c>
      <c r="C6585" s="1" t="n">
        <v>45586</v>
      </c>
      <c r="D6585" t="inlineStr">
        <is>
          <t>VÄSTRA GÖTALANDS LÄN</t>
        </is>
      </c>
      <c r="E6585" t="inlineStr">
        <is>
          <t>FALKÖPING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46067-2021</t>
        </is>
      </c>
      <c r="B6586" s="1" t="n">
        <v>44442</v>
      </c>
      <c r="C6586" s="1" t="n">
        <v>45586</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46086-2021</t>
        </is>
      </c>
      <c r="B6587" s="1" t="n">
        <v>44442</v>
      </c>
      <c r="C6587" s="1" t="n">
        <v>45586</v>
      </c>
      <c r="D6587" t="inlineStr">
        <is>
          <t>VÄSTRA GÖTALANDS LÄN</t>
        </is>
      </c>
      <c r="E6587" t="inlineStr">
        <is>
          <t>SKÖVDE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46108-2021</t>
        </is>
      </c>
      <c r="B6588" s="1" t="n">
        <v>44442</v>
      </c>
      <c r="C6588" s="1" t="n">
        <v>45586</v>
      </c>
      <c r="D6588" t="inlineStr">
        <is>
          <t>VÄSTRA GÖTALANDS LÄN</t>
        </is>
      </c>
      <c r="E6588" t="inlineStr">
        <is>
          <t>VÅRGÅRDA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46136-2021</t>
        </is>
      </c>
      <c r="B6589" s="1" t="n">
        <v>44442</v>
      </c>
      <c r="C6589" s="1" t="n">
        <v>45586</v>
      </c>
      <c r="D6589" t="inlineStr">
        <is>
          <t>VÄSTRA GÖTALANDS LÄN</t>
        </is>
      </c>
      <c r="E6589" t="inlineStr">
        <is>
          <t>ÅMÅL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46076-2021</t>
        </is>
      </c>
      <c r="B6590" s="1" t="n">
        <v>44442</v>
      </c>
      <c r="C6590" s="1" t="n">
        <v>45586</v>
      </c>
      <c r="D6590" t="inlineStr">
        <is>
          <t>VÄSTRA GÖTALANDS LÄN</t>
        </is>
      </c>
      <c r="E6590" t="inlineStr">
        <is>
          <t>MELLERUD</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46214-2021</t>
        </is>
      </c>
      <c r="B6591" s="1" t="n">
        <v>44442</v>
      </c>
      <c r="C6591" s="1" t="n">
        <v>45586</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46065-2021</t>
        </is>
      </c>
      <c r="B6592" s="1" t="n">
        <v>44442</v>
      </c>
      <c r="C6592" s="1" t="n">
        <v>45586</v>
      </c>
      <c r="D6592" t="inlineStr">
        <is>
          <t>VÄSTRA GÖTALANDS LÄN</t>
        </is>
      </c>
      <c r="E6592" t="inlineStr">
        <is>
          <t>GÖTENE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46212-2021</t>
        </is>
      </c>
      <c r="B6593" s="1" t="n">
        <v>44442</v>
      </c>
      <c r="C6593" s="1" t="n">
        <v>45586</v>
      </c>
      <c r="D6593" t="inlineStr">
        <is>
          <t>VÄSTRA GÖTALANDS LÄN</t>
        </is>
      </c>
      <c r="E6593" t="inlineStr">
        <is>
          <t>ULRICEHAMN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46261-2021</t>
        </is>
      </c>
      <c r="B6594" s="1" t="n">
        <v>44442</v>
      </c>
      <c r="C6594" s="1" t="n">
        <v>45586</v>
      </c>
      <c r="D6594" t="inlineStr">
        <is>
          <t>VÄSTRA GÖTALANDS LÄN</t>
        </is>
      </c>
      <c r="E6594" t="inlineStr">
        <is>
          <t>TIDAHOLM</t>
        </is>
      </c>
      <c r="F6594" t="inlineStr">
        <is>
          <t>Sveaskog</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46285-2021</t>
        </is>
      </c>
      <c r="B6595" s="1" t="n">
        <v>44442</v>
      </c>
      <c r="C6595" s="1" t="n">
        <v>45586</v>
      </c>
      <c r="D6595" t="inlineStr">
        <is>
          <t>VÄSTRA GÖTALANDS LÄN</t>
        </is>
      </c>
      <c r="E6595" t="inlineStr">
        <is>
          <t>BENGTSFORS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46306-2021</t>
        </is>
      </c>
      <c r="B6596" s="1" t="n">
        <v>44442</v>
      </c>
      <c r="C6596" s="1" t="n">
        <v>45586</v>
      </c>
      <c r="D6596" t="inlineStr">
        <is>
          <t>VÄSTRA GÖTALANDS LÄN</t>
        </is>
      </c>
      <c r="E6596" t="inlineStr">
        <is>
          <t>DALS-ED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46323-2021</t>
        </is>
      </c>
      <c r="B6597" s="1" t="n">
        <v>44442</v>
      </c>
      <c r="C6597" s="1" t="n">
        <v>45586</v>
      </c>
      <c r="D6597" t="inlineStr">
        <is>
          <t>VÄSTRA GÖTALANDS LÄN</t>
        </is>
      </c>
      <c r="E6597" t="inlineStr">
        <is>
          <t>BENGTSFORS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46336-2021</t>
        </is>
      </c>
      <c r="B6598" s="1" t="n">
        <v>44442</v>
      </c>
      <c r="C6598" s="1" t="n">
        <v>45586</v>
      </c>
      <c r="D6598" t="inlineStr">
        <is>
          <t>VÄSTRA GÖTALANDS LÄN</t>
        </is>
      </c>
      <c r="E6598" t="inlineStr">
        <is>
          <t>DALS-ED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46424-2021</t>
        </is>
      </c>
      <c r="B6599" s="1" t="n">
        <v>44442</v>
      </c>
      <c r="C6599" s="1" t="n">
        <v>45586</v>
      </c>
      <c r="D6599" t="inlineStr">
        <is>
          <t>VÄSTRA GÖTALANDS LÄN</t>
        </is>
      </c>
      <c r="E6599" t="inlineStr">
        <is>
          <t>VÄNERSBORG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46447-2021</t>
        </is>
      </c>
      <c r="B6600" s="1" t="n">
        <v>44442</v>
      </c>
      <c r="C6600" s="1" t="n">
        <v>45586</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46391-2021</t>
        </is>
      </c>
      <c r="B6601" s="1" t="n">
        <v>44443</v>
      </c>
      <c r="C6601" s="1" t="n">
        <v>45586</v>
      </c>
      <c r="D6601" t="inlineStr">
        <is>
          <t>VÄSTRA GÖTALANDS LÄN</t>
        </is>
      </c>
      <c r="E6601" t="inlineStr">
        <is>
          <t>ALE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46395-2021</t>
        </is>
      </c>
      <c r="B6602" s="1" t="n">
        <v>44443</v>
      </c>
      <c r="C6602" s="1" t="n">
        <v>45586</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46390-2021</t>
        </is>
      </c>
      <c r="B6603" s="1" t="n">
        <v>44443</v>
      </c>
      <c r="C6603" s="1" t="n">
        <v>45586</v>
      </c>
      <c r="D6603" t="inlineStr">
        <is>
          <t>VÄSTRA GÖTALANDS LÄN</t>
        </is>
      </c>
      <c r="E6603" t="inlineStr">
        <is>
          <t>SVENLJUNGA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46491-2021</t>
        </is>
      </c>
      <c r="B6604" s="1" t="n">
        <v>44445</v>
      </c>
      <c r="C6604" s="1" t="n">
        <v>45586</v>
      </c>
      <c r="D6604" t="inlineStr">
        <is>
          <t>VÄSTRA GÖTALANDS LÄN</t>
        </is>
      </c>
      <c r="E6604" t="inlineStr">
        <is>
          <t>ALINGSÅS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46657-2021</t>
        </is>
      </c>
      <c r="B6605" s="1" t="n">
        <v>44445</v>
      </c>
      <c r="C6605" s="1" t="n">
        <v>45586</v>
      </c>
      <c r="D6605" t="inlineStr">
        <is>
          <t>VÄSTRA GÖTALANDS LÄN</t>
        </is>
      </c>
      <c r="E6605" t="inlineStr">
        <is>
          <t>FÄRGELANDA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46432-2021</t>
        </is>
      </c>
      <c r="B6606" s="1" t="n">
        <v>44445</v>
      </c>
      <c r="C6606" s="1" t="n">
        <v>45586</v>
      </c>
      <c r="D6606" t="inlineStr">
        <is>
          <t>VÄSTRA GÖTALANDS LÄN</t>
        </is>
      </c>
      <c r="E6606" t="inlineStr">
        <is>
          <t>VÅRGÅRDA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46535-2021</t>
        </is>
      </c>
      <c r="B6607" s="1" t="n">
        <v>44445</v>
      </c>
      <c r="C6607" s="1" t="n">
        <v>45586</v>
      </c>
      <c r="D6607" t="inlineStr">
        <is>
          <t>VÄSTRA GÖTALANDS LÄN</t>
        </is>
      </c>
      <c r="E6607" t="inlineStr">
        <is>
          <t>TANUM</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46548-2021</t>
        </is>
      </c>
      <c r="B6608" s="1" t="n">
        <v>44445</v>
      </c>
      <c r="C6608" s="1" t="n">
        <v>45586</v>
      </c>
      <c r="D6608" t="inlineStr">
        <is>
          <t>VÄSTRA GÖTALANDS LÄN</t>
        </is>
      </c>
      <c r="E6608" t="inlineStr">
        <is>
          <t>UDDEVALLA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46538-2021</t>
        </is>
      </c>
      <c r="B6609" s="1" t="n">
        <v>44445</v>
      </c>
      <c r="C6609" s="1" t="n">
        <v>45586</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46649-2021</t>
        </is>
      </c>
      <c r="B6610" s="1" t="n">
        <v>44445</v>
      </c>
      <c r="C6610" s="1" t="n">
        <v>45586</v>
      </c>
      <c r="D6610" t="inlineStr">
        <is>
          <t>VÄSTRA GÖTALANDS LÄN</t>
        </is>
      </c>
      <c r="E6610" t="inlineStr">
        <is>
          <t>SKÖVDE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46573-2021</t>
        </is>
      </c>
      <c r="B6611" s="1" t="n">
        <v>44445</v>
      </c>
      <c r="C6611" s="1" t="n">
        <v>45586</v>
      </c>
      <c r="D6611" t="inlineStr">
        <is>
          <t>VÄSTRA GÖTALANDS LÄN</t>
        </is>
      </c>
      <c r="E6611" t="inlineStr">
        <is>
          <t>MARIESTAD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46655-2021</t>
        </is>
      </c>
      <c r="B6612" s="1" t="n">
        <v>44445</v>
      </c>
      <c r="C6612" s="1" t="n">
        <v>45586</v>
      </c>
      <c r="D6612" t="inlineStr">
        <is>
          <t>VÄSTRA GÖTALANDS LÄN</t>
        </is>
      </c>
      <c r="E6612" t="inlineStr">
        <is>
          <t>MARIESTAD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46629-2021</t>
        </is>
      </c>
      <c r="B6613" s="1" t="n">
        <v>44445</v>
      </c>
      <c r="C6613" s="1" t="n">
        <v>45586</v>
      </c>
      <c r="D6613" t="inlineStr">
        <is>
          <t>VÄSTRA GÖTALANDS LÄN</t>
        </is>
      </c>
      <c r="E6613" t="inlineStr">
        <is>
          <t>ORUST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46883-2021</t>
        </is>
      </c>
      <c r="B6614" s="1" t="n">
        <v>44446</v>
      </c>
      <c r="C6614" s="1" t="n">
        <v>45586</v>
      </c>
      <c r="D6614" t="inlineStr">
        <is>
          <t>VÄSTRA GÖTALANDS LÄN</t>
        </is>
      </c>
      <c r="E6614" t="inlineStr">
        <is>
          <t>ALINGSÅS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46944-2021</t>
        </is>
      </c>
      <c r="B6615" s="1" t="n">
        <v>44446</v>
      </c>
      <c r="C6615" s="1" t="n">
        <v>45586</v>
      </c>
      <c r="D6615" t="inlineStr">
        <is>
          <t>VÄSTRA GÖTALANDS LÄN</t>
        </is>
      </c>
      <c r="E6615" t="inlineStr">
        <is>
          <t>VÅRGÅRDA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46841-2021</t>
        </is>
      </c>
      <c r="B6616" s="1" t="n">
        <v>44446</v>
      </c>
      <c r="C6616" s="1" t="n">
        <v>45586</v>
      </c>
      <c r="D6616" t="inlineStr">
        <is>
          <t>VÄSTRA GÖTALANDS LÄN</t>
        </is>
      </c>
      <c r="E6616" t="inlineStr">
        <is>
          <t>MARIESTAD</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46870-2021</t>
        </is>
      </c>
      <c r="B6617" s="1" t="n">
        <v>44446</v>
      </c>
      <c r="C6617" s="1" t="n">
        <v>45586</v>
      </c>
      <c r="D6617" t="inlineStr">
        <is>
          <t>VÄSTRA GÖTALANDS LÄN</t>
        </is>
      </c>
      <c r="E6617" t="inlineStr">
        <is>
          <t>VÄNERSBORG</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46835-2021</t>
        </is>
      </c>
      <c r="B6618" s="1" t="n">
        <v>44446</v>
      </c>
      <c r="C6618" s="1" t="n">
        <v>45586</v>
      </c>
      <c r="D6618" t="inlineStr">
        <is>
          <t>VÄSTRA GÖTALANDS LÄN</t>
        </is>
      </c>
      <c r="E6618" t="inlineStr">
        <is>
          <t>MARIESTAD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46825-2021</t>
        </is>
      </c>
      <c r="B6619" s="1" t="n">
        <v>44446</v>
      </c>
      <c r="C6619" s="1" t="n">
        <v>45586</v>
      </c>
      <c r="D6619" t="inlineStr">
        <is>
          <t>VÄSTRA GÖTALANDS LÄN</t>
        </is>
      </c>
      <c r="E6619" t="inlineStr">
        <is>
          <t>BENGTSFORS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46851-2021</t>
        </is>
      </c>
      <c r="B6620" s="1" t="n">
        <v>44446</v>
      </c>
      <c r="C6620" s="1" t="n">
        <v>45586</v>
      </c>
      <c r="D6620" t="inlineStr">
        <is>
          <t>VÄSTRA GÖTALANDS LÄN</t>
        </is>
      </c>
      <c r="E6620" t="inlineStr">
        <is>
          <t>FÄRGELANDA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46978-2021</t>
        </is>
      </c>
      <c r="B6621" s="1" t="n">
        <v>44446</v>
      </c>
      <c r="C6621" s="1" t="n">
        <v>45586</v>
      </c>
      <c r="D6621" t="inlineStr">
        <is>
          <t>VÄSTRA GÖTALANDS LÄN</t>
        </is>
      </c>
      <c r="E6621" t="inlineStr">
        <is>
          <t>GÖTENE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47048-2021</t>
        </is>
      </c>
      <c r="B6622" s="1" t="n">
        <v>44446</v>
      </c>
      <c r="C6622" s="1" t="n">
        <v>45586</v>
      </c>
      <c r="D6622" t="inlineStr">
        <is>
          <t>VÄSTRA GÖTALANDS LÄN</t>
        </is>
      </c>
      <c r="E6622" t="inlineStr">
        <is>
          <t>LIDKÖPING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47076-2021</t>
        </is>
      </c>
      <c r="B6623" s="1" t="n">
        <v>44446</v>
      </c>
      <c r="C6623" s="1" t="n">
        <v>45586</v>
      </c>
      <c r="D6623" t="inlineStr">
        <is>
          <t>VÄSTRA GÖTALANDS LÄN</t>
        </is>
      </c>
      <c r="E6623" t="inlineStr">
        <is>
          <t>MARIESTAD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47049-2021</t>
        </is>
      </c>
      <c r="B6624" s="1" t="n">
        <v>44446</v>
      </c>
      <c r="C6624" s="1" t="n">
        <v>45586</v>
      </c>
      <c r="D6624" t="inlineStr">
        <is>
          <t>VÄSTRA GÖTALANDS LÄN</t>
        </is>
      </c>
      <c r="E6624" t="inlineStr">
        <is>
          <t>TIBRO</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47091-2021</t>
        </is>
      </c>
      <c r="B6625" s="1" t="n">
        <v>44446</v>
      </c>
      <c r="C6625" s="1" t="n">
        <v>45586</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47227-2021</t>
        </is>
      </c>
      <c r="B6626" s="1" t="n">
        <v>44446</v>
      </c>
      <c r="C6626" s="1" t="n">
        <v>45586</v>
      </c>
      <c r="D6626" t="inlineStr">
        <is>
          <t>VÄSTRA GÖTALANDS LÄN</t>
        </is>
      </c>
      <c r="E6626" t="inlineStr">
        <is>
          <t>DALS-ED</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47047-2021</t>
        </is>
      </c>
      <c r="B6627" s="1" t="n">
        <v>44446</v>
      </c>
      <c r="C6627" s="1" t="n">
        <v>45586</v>
      </c>
      <c r="D6627" t="inlineStr">
        <is>
          <t>VÄSTRA GÖTALANDS LÄN</t>
        </is>
      </c>
      <c r="E6627" t="inlineStr">
        <is>
          <t>HJO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47057-2021</t>
        </is>
      </c>
      <c r="B6628" s="1" t="n">
        <v>44446</v>
      </c>
      <c r="C6628" s="1" t="n">
        <v>45586</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47168-2021</t>
        </is>
      </c>
      <c r="B6629" s="1" t="n">
        <v>44446</v>
      </c>
      <c r="C6629" s="1" t="n">
        <v>45586</v>
      </c>
      <c r="D6629" t="inlineStr">
        <is>
          <t>VÄSTRA GÖTALANDS LÄN</t>
        </is>
      </c>
      <c r="E6629" t="inlineStr">
        <is>
          <t>TANUM</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47179-2021</t>
        </is>
      </c>
      <c r="B6630" s="1" t="n">
        <v>44446</v>
      </c>
      <c r="C6630" s="1" t="n">
        <v>45586</v>
      </c>
      <c r="D6630" t="inlineStr">
        <is>
          <t>VÄSTRA GÖTALANDS LÄN</t>
        </is>
      </c>
      <c r="E6630" t="inlineStr">
        <is>
          <t>FÄRGELANDA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47186-2021</t>
        </is>
      </c>
      <c r="B6631" s="1" t="n">
        <v>44447</v>
      </c>
      <c r="C6631" s="1" t="n">
        <v>45586</v>
      </c>
      <c r="D6631" t="inlineStr">
        <is>
          <t>VÄSTRA GÖTALANDS LÄN</t>
        </is>
      </c>
      <c r="E6631" t="inlineStr">
        <is>
          <t>HERRLJUNGA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47194-2021</t>
        </is>
      </c>
      <c r="B6632" s="1" t="n">
        <v>44447</v>
      </c>
      <c r="C6632" s="1" t="n">
        <v>45586</v>
      </c>
      <c r="D6632" t="inlineStr">
        <is>
          <t>VÄSTRA GÖTALANDS LÄN</t>
        </is>
      </c>
      <c r="E6632" t="inlineStr">
        <is>
          <t>MARIESTAD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47267-2021</t>
        </is>
      </c>
      <c r="B6633" s="1" t="n">
        <v>44447</v>
      </c>
      <c r="C6633" s="1" t="n">
        <v>45586</v>
      </c>
      <c r="D6633" t="inlineStr">
        <is>
          <t>VÄSTRA GÖTALANDS LÄN</t>
        </is>
      </c>
      <c r="E6633" t="inlineStr">
        <is>
          <t>TIDAHOLM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47284-2021</t>
        </is>
      </c>
      <c r="B6634" s="1" t="n">
        <v>44447</v>
      </c>
      <c r="C6634" s="1" t="n">
        <v>45586</v>
      </c>
      <c r="D6634" t="inlineStr">
        <is>
          <t>VÄSTRA GÖTALANDS LÄN</t>
        </is>
      </c>
      <c r="E6634" t="inlineStr">
        <is>
          <t>HERRLJUNGA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47326-2021</t>
        </is>
      </c>
      <c r="B6635" s="1" t="n">
        <v>44447</v>
      </c>
      <c r="C6635" s="1" t="n">
        <v>45586</v>
      </c>
      <c r="D6635" t="inlineStr">
        <is>
          <t>VÄSTRA GÖTALANDS LÄN</t>
        </is>
      </c>
      <c r="E6635" t="inlineStr">
        <is>
          <t>FALKÖPING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47189-2021</t>
        </is>
      </c>
      <c r="B6636" s="1" t="n">
        <v>44447</v>
      </c>
      <c r="C6636" s="1" t="n">
        <v>45586</v>
      </c>
      <c r="D6636" t="inlineStr">
        <is>
          <t>VÄSTRA GÖTALANDS LÄN</t>
        </is>
      </c>
      <c r="E6636" t="inlineStr">
        <is>
          <t>SVENLJUNGA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47181-2021</t>
        </is>
      </c>
      <c r="B6637" s="1" t="n">
        <v>44447</v>
      </c>
      <c r="C6637" s="1" t="n">
        <v>45586</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47193-2021</t>
        </is>
      </c>
      <c r="B6638" s="1" t="n">
        <v>44447</v>
      </c>
      <c r="C6638" s="1" t="n">
        <v>45586</v>
      </c>
      <c r="D6638" t="inlineStr">
        <is>
          <t>VÄSTRA GÖTALANDS LÄN</t>
        </is>
      </c>
      <c r="E6638" t="inlineStr">
        <is>
          <t>MARIESTAD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47306-2021</t>
        </is>
      </c>
      <c r="B6639" s="1" t="n">
        <v>44447</v>
      </c>
      <c r="C6639" s="1" t="n">
        <v>45586</v>
      </c>
      <c r="D6639" t="inlineStr">
        <is>
          <t>VÄSTRA GÖTALANDS LÄN</t>
        </is>
      </c>
      <c r="E6639" t="inlineStr">
        <is>
          <t>BORÅS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47187-2021</t>
        </is>
      </c>
      <c r="B6640" s="1" t="n">
        <v>44447</v>
      </c>
      <c r="C6640" s="1" t="n">
        <v>45586</v>
      </c>
      <c r="D6640" t="inlineStr">
        <is>
          <t>VÄSTRA GÖTALANDS LÄN</t>
        </is>
      </c>
      <c r="E6640" t="inlineStr">
        <is>
          <t>ALINGSÅS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47378-2021</t>
        </is>
      </c>
      <c r="B6641" s="1" t="n">
        <v>44447</v>
      </c>
      <c r="C6641" s="1" t="n">
        <v>45586</v>
      </c>
      <c r="D6641" t="inlineStr">
        <is>
          <t>VÄSTRA GÖTALANDS LÄN</t>
        </is>
      </c>
      <c r="E6641" t="inlineStr">
        <is>
          <t>MUNKEDAL</t>
        </is>
      </c>
      <c r="F6641" t="inlineStr">
        <is>
          <t>Övriga Aktiebolag</t>
        </is>
      </c>
      <c r="G6641" t="n">
        <v>21.7</v>
      </c>
      <c r="H6641" t="n">
        <v>0</v>
      </c>
      <c r="I6641" t="n">
        <v>0</v>
      </c>
      <c r="J6641" t="n">
        <v>0</v>
      </c>
      <c r="K6641" t="n">
        <v>0</v>
      </c>
      <c r="L6641" t="n">
        <v>0</v>
      </c>
      <c r="M6641" t="n">
        <v>0</v>
      </c>
      <c r="N6641" t="n">
        <v>0</v>
      </c>
      <c r="O6641" t="n">
        <v>0</v>
      </c>
      <c r="P6641" t="n">
        <v>0</v>
      </c>
      <c r="Q6641" t="n">
        <v>0</v>
      </c>
      <c r="R6641" s="2" t="inlineStr"/>
    </row>
    <row r="6642" ht="15" customHeight="1">
      <c r="A6642" t="inlineStr">
        <is>
          <t>A 47466-2021</t>
        </is>
      </c>
      <c r="B6642" s="1" t="n">
        <v>44447</v>
      </c>
      <c r="C6642" s="1" t="n">
        <v>45586</v>
      </c>
      <c r="D6642" t="inlineStr">
        <is>
          <t>VÄSTRA GÖTALANDS LÄN</t>
        </is>
      </c>
      <c r="E6642" t="inlineStr">
        <is>
          <t>ULRICEHAMN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47469-2021</t>
        </is>
      </c>
      <c r="B6643" s="1" t="n">
        <v>44447</v>
      </c>
      <c r="C6643" s="1" t="n">
        <v>45586</v>
      </c>
      <c r="D6643" t="inlineStr">
        <is>
          <t>VÄSTRA GÖTALANDS LÄN</t>
        </is>
      </c>
      <c r="E6643" t="inlineStr">
        <is>
          <t>ULRICEHAMN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47424-2021</t>
        </is>
      </c>
      <c r="B6644" s="1" t="n">
        <v>44447</v>
      </c>
      <c r="C6644" s="1" t="n">
        <v>45586</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47504-2021</t>
        </is>
      </c>
      <c r="B6645" s="1" t="n">
        <v>44447</v>
      </c>
      <c r="C6645" s="1" t="n">
        <v>45586</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47508-2021</t>
        </is>
      </c>
      <c r="B6646" s="1" t="n">
        <v>44447</v>
      </c>
      <c r="C6646" s="1" t="n">
        <v>45586</v>
      </c>
      <c r="D6646" t="inlineStr">
        <is>
          <t>VÄSTRA GÖTALANDS LÄN</t>
        </is>
      </c>
      <c r="E6646" t="inlineStr">
        <is>
          <t>BORÅS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47598-2021</t>
        </is>
      </c>
      <c r="B6647" s="1" t="n">
        <v>44448</v>
      </c>
      <c r="C6647" s="1" t="n">
        <v>45586</v>
      </c>
      <c r="D6647" t="inlineStr">
        <is>
          <t>VÄSTRA GÖTALANDS LÄN</t>
        </is>
      </c>
      <c r="E6647" t="inlineStr">
        <is>
          <t>ULRICEHAMN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47621-2021</t>
        </is>
      </c>
      <c r="B6648" s="1" t="n">
        <v>44448</v>
      </c>
      <c r="C6648" s="1" t="n">
        <v>45586</v>
      </c>
      <c r="D6648" t="inlineStr">
        <is>
          <t>VÄSTRA GÖTALANDS LÄN</t>
        </is>
      </c>
      <c r="E6648" t="inlineStr">
        <is>
          <t>BORÅS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47636-2021</t>
        </is>
      </c>
      <c r="B6649" s="1" t="n">
        <v>44448</v>
      </c>
      <c r="C6649" s="1" t="n">
        <v>45586</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47605-2021</t>
        </is>
      </c>
      <c r="B6650" s="1" t="n">
        <v>44448</v>
      </c>
      <c r="C6650" s="1" t="n">
        <v>45586</v>
      </c>
      <c r="D6650" t="inlineStr">
        <is>
          <t>VÄSTRA GÖTALANDS LÄN</t>
        </is>
      </c>
      <c r="E6650" t="inlineStr">
        <is>
          <t>ULRICEHAMN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47692-2021</t>
        </is>
      </c>
      <c r="B6651" s="1" t="n">
        <v>44448</v>
      </c>
      <c r="C6651" s="1" t="n">
        <v>45586</v>
      </c>
      <c r="D6651" t="inlineStr">
        <is>
          <t>VÄSTRA GÖTALANDS LÄN</t>
        </is>
      </c>
      <c r="E6651" t="inlineStr">
        <is>
          <t>KARLSBORG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47698-2021</t>
        </is>
      </c>
      <c r="B6652" s="1" t="n">
        <v>44448</v>
      </c>
      <c r="C6652" s="1" t="n">
        <v>45586</v>
      </c>
      <c r="D6652" t="inlineStr">
        <is>
          <t>VÄSTRA GÖTALANDS LÄN</t>
        </is>
      </c>
      <c r="E6652" t="inlineStr">
        <is>
          <t>KARLSBORG</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47725-2021</t>
        </is>
      </c>
      <c r="B6653" s="1" t="n">
        <v>44448</v>
      </c>
      <c r="C6653" s="1" t="n">
        <v>45586</v>
      </c>
      <c r="D6653" t="inlineStr">
        <is>
          <t>VÄSTRA GÖTALANDS LÄN</t>
        </is>
      </c>
      <c r="E6653" t="inlineStr">
        <is>
          <t>BORÅS</t>
        </is>
      </c>
      <c r="G6653" t="n">
        <v>11.4</v>
      </c>
      <c r="H6653" t="n">
        <v>0</v>
      </c>
      <c r="I6653" t="n">
        <v>0</v>
      </c>
      <c r="J6653" t="n">
        <v>0</v>
      </c>
      <c r="K6653" t="n">
        <v>0</v>
      </c>
      <c r="L6653" t="n">
        <v>0</v>
      </c>
      <c r="M6653" t="n">
        <v>0</v>
      </c>
      <c r="N6653" t="n">
        <v>0</v>
      </c>
      <c r="O6653" t="n">
        <v>0</v>
      </c>
      <c r="P6653" t="n">
        <v>0</v>
      </c>
      <c r="Q6653" t="n">
        <v>0</v>
      </c>
      <c r="R6653" s="2" t="inlineStr"/>
    </row>
    <row r="6654" ht="15" customHeight="1">
      <c r="A6654" t="inlineStr">
        <is>
          <t>A 47690-2021</t>
        </is>
      </c>
      <c r="B6654" s="1" t="n">
        <v>44448</v>
      </c>
      <c r="C6654" s="1" t="n">
        <v>45586</v>
      </c>
      <c r="D6654" t="inlineStr">
        <is>
          <t>VÄSTRA GÖTALANDS LÄN</t>
        </is>
      </c>
      <c r="E6654" t="inlineStr">
        <is>
          <t>SVENLJUNGA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47723-2021</t>
        </is>
      </c>
      <c r="B6655" s="1" t="n">
        <v>44448</v>
      </c>
      <c r="C6655" s="1" t="n">
        <v>45586</v>
      </c>
      <c r="D6655" t="inlineStr">
        <is>
          <t>VÄSTRA GÖTALANDS LÄN</t>
        </is>
      </c>
      <c r="E6655" t="inlineStr">
        <is>
          <t>SVENLJUNGA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47624-2021</t>
        </is>
      </c>
      <c r="B6656" s="1" t="n">
        <v>44448</v>
      </c>
      <c r="C6656" s="1" t="n">
        <v>45586</v>
      </c>
      <c r="D6656" t="inlineStr">
        <is>
          <t>VÄSTRA GÖTALANDS LÄN</t>
        </is>
      </c>
      <c r="E6656" t="inlineStr">
        <is>
          <t>BORÅS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47630-2021</t>
        </is>
      </c>
      <c r="B6657" s="1" t="n">
        <v>44448</v>
      </c>
      <c r="C6657" s="1" t="n">
        <v>45586</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47703-2021</t>
        </is>
      </c>
      <c r="B6658" s="1" t="n">
        <v>44448</v>
      </c>
      <c r="C6658" s="1" t="n">
        <v>45586</v>
      </c>
      <c r="D6658" t="inlineStr">
        <is>
          <t>VÄSTRA GÖTALANDS LÄN</t>
        </is>
      </c>
      <c r="E6658" t="inlineStr">
        <is>
          <t>KARLSBORG</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47709-2021</t>
        </is>
      </c>
      <c r="B6659" s="1" t="n">
        <v>44448</v>
      </c>
      <c r="C6659" s="1" t="n">
        <v>45586</v>
      </c>
      <c r="D6659" t="inlineStr">
        <is>
          <t>VÄSTRA GÖTALANDS LÄN</t>
        </is>
      </c>
      <c r="E6659" t="inlineStr">
        <is>
          <t>SVENLJUNGA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47781-2021</t>
        </is>
      </c>
      <c r="B6660" s="1" t="n">
        <v>44448</v>
      </c>
      <c r="C6660" s="1" t="n">
        <v>45586</v>
      </c>
      <c r="D6660" t="inlineStr">
        <is>
          <t>VÄSTRA GÖTALANDS LÄN</t>
        </is>
      </c>
      <c r="E6660" t="inlineStr">
        <is>
          <t>ALINGSÅS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47869-2021</t>
        </is>
      </c>
      <c r="B6661" s="1" t="n">
        <v>44448</v>
      </c>
      <c r="C6661" s="1" t="n">
        <v>45586</v>
      </c>
      <c r="D6661" t="inlineStr">
        <is>
          <t>VÄSTRA GÖTALANDS LÄN</t>
        </is>
      </c>
      <c r="E6661" t="inlineStr">
        <is>
          <t>TRANEMO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47876-2021</t>
        </is>
      </c>
      <c r="B6662" s="1" t="n">
        <v>44448</v>
      </c>
      <c r="C6662" s="1" t="n">
        <v>45586</v>
      </c>
      <c r="D6662" t="inlineStr">
        <is>
          <t>VÄSTRA GÖTALANDS LÄN</t>
        </is>
      </c>
      <c r="E6662" t="inlineStr">
        <is>
          <t>ORUST</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47885-2021</t>
        </is>
      </c>
      <c r="B6663" s="1" t="n">
        <v>44448</v>
      </c>
      <c r="C6663" s="1" t="n">
        <v>45586</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47826-2021</t>
        </is>
      </c>
      <c r="B6664" s="1" t="n">
        <v>44448</v>
      </c>
      <c r="C6664" s="1" t="n">
        <v>45586</v>
      </c>
      <c r="D6664" t="inlineStr">
        <is>
          <t>VÄSTRA GÖTALANDS LÄN</t>
        </is>
      </c>
      <c r="E6664" t="inlineStr">
        <is>
          <t>MARK</t>
        </is>
      </c>
      <c r="F6664" t="inlineStr">
        <is>
          <t>Kyrkan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47877-2021</t>
        </is>
      </c>
      <c r="B6665" s="1" t="n">
        <v>44448</v>
      </c>
      <c r="C6665" s="1" t="n">
        <v>45586</v>
      </c>
      <c r="D6665" t="inlineStr">
        <is>
          <t>VÄSTRA GÖTALANDS LÄN</t>
        </is>
      </c>
      <c r="E6665" t="inlineStr">
        <is>
          <t>ORUST</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47886-2021</t>
        </is>
      </c>
      <c r="B6666" s="1" t="n">
        <v>44448</v>
      </c>
      <c r="C6666" s="1" t="n">
        <v>45586</v>
      </c>
      <c r="D6666" t="inlineStr">
        <is>
          <t>VÄSTRA GÖTALANDS LÄN</t>
        </is>
      </c>
      <c r="E6666" t="inlineStr">
        <is>
          <t>ORUST</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47896-2021</t>
        </is>
      </c>
      <c r="B6667" s="1" t="n">
        <v>44448</v>
      </c>
      <c r="C6667" s="1" t="n">
        <v>45586</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47809-2021</t>
        </is>
      </c>
      <c r="B6668" s="1" t="n">
        <v>44448</v>
      </c>
      <c r="C6668" s="1" t="n">
        <v>45586</v>
      </c>
      <c r="D6668" t="inlineStr">
        <is>
          <t>VÄSTRA GÖTALANDS LÄN</t>
        </is>
      </c>
      <c r="E6668" t="inlineStr">
        <is>
          <t>ULRICEHAMN</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47874-2021</t>
        </is>
      </c>
      <c r="B6669" s="1" t="n">
        <v>44448</v>
      </c>
      <c r="C6669" s="1" t="n">
        <v>45586</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47882-2021</t>
        </is>
      </c>
      <c r="B6670" s="1" t="n">
        <v>44448</v>
      </c>
      <c r="C6670" s="1" t="n">
        <v>45586</v>
      </c>
      <c r="D6670" t="inlineStr">
        <is>
          <t>VÄSTRA GÖTALANDS LÄN</t>
        </is>
      </c>
      <c r="E6670" t="inlineStr">
        <is>
          <t>ORUST</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47883-2021</t>
        </is>
      </c>
      <c r="B6671" s="1" t="n">
        <v>44448</v>
      </c>
      <c r="C6671" s="1" t="n">
        <v>45586</v>
      </c>
      <c r="D6671" t="inlineStr">
        <is>
          <t>VÄSTRA GÖTALANDS LÄN</t>
        </is>
      </c>
      <c r="E6671" t="inlineStr">
        <is>
          <t>ORUST</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47901-2021</t>
        </is>
      </c>
      <c r="B6672" s="1" t="n">
        <v>44448</v>
      </c>
      <c r="C6672" s="1" t="n">
        <v>45586</v>
      </c>
      <c r="D6672" t="inlineStr">
        <is>
          <t>VÄSTRA GÖTALANDS LÄN</t>
        </is>
      </c>
      <c r="E6672" t="inlineStr">
        <is>
          <t>VARA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47963-2021</t>
        </is>
      </c>
      <c r="B6673" s="1" t="n">
        <v>44449</v>
      </c>
      <c r="C6673" s="1" t="n">
        <v>45586</v>
      </c>
      <c r="D6673" t="inlineStr">
        <is>
          <t>VÄSTRA GÖTALANDS LÄN</t>
        </is>
      </c>
      <c r="E6673" t="inlineStr">
        <is>
          <t>TIDAHOLM</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47984-2021</t>
        </is>
      </c>
      <c r="B6674" s="1" t="n">
        <v>44449</v>
      </c>
      <c r="C6674" s="1" t="n">
        <v>45586</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47982-2021</t>
        </is>
      </c>
      <c r="B6675" s="1" t="n">
        <v>44449</v>
      </c>
      <c r="C6675" s="1" t="n">
        <v>45586</v>
      </c>
      <c r="D6675" t="inlineStr">
        <is>
          <t>VÄSTRA GÖTALANDS LÄN</t>
        </is>
      </c>
      <c r="E6675" t="inlineStr">
        <is>
          <t>TRANEMO</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48039-2021</t>
        </is>
      </c>
      <c r="B6676" s="1" t="n">
        <v>44449</v>
      </c>
      <c r="C6676" s="1" t="n">
        <v>45586</v>
      </c>
      <c r="D6676" t="inlineStr">
        <is>
          <t>VÄSTRA GÖTALANDS LÄN</t>
        </is>
      </c>
      <c r="E6676" t="inlineStr">
        <is>
          <t>FÄRGELANDA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48088-2021</t>
        </is>
      </c>
      <c r="B6677" s="1" t="n">
        <v>44449</v>
      </c>
      <c r="C6677" s="1" t="n">
        <v>45586</v>
      </c>
      <c r="D6677" t="inlineStr">
        <is>
          <t>VÄSTRA GÖTALANDS LÄN</t>
        </is>
      </c>
      <c r="E6677" t="inlineStr">
        <is>
          <t>UDDEVALLA</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48278-2021</t>
        </is>
      </c>
      <c r="B6678" s="1" t="n">
        <v>44449</v>
      </c>
      <c r="C6678" s="1" t="n">
        <v>45586</v>
      </c>
      <c r="D6678" t="inlineStr">
        <is>
          <t>VÄSTRA GÖTALANDS LÄN</t>
        </is>
      </c>
      <c r="E6678" t="inlineStr">
        <is>
          <t>HERRLJUNGA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48285-2021</t>
        </is>
      </c>
      <c r="B6679" s="1" t="n">
        <v>44449</v>
      </c>
      <c r="C6679" s="1" t="n">
        <v>45586</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48259-2021</t>
        </is>
      </c>
      <c r="B6680" s="1" t="n">
        <v>44449</v>
      </c>
      <c r="C6680" s="1" t="n">
        <v>45586</v>
      </c>
      <c r="D6680" t="inlineStr">
        <is>
          <t>VÄSTRA GÖTALANDS LÄN</t>
        </is>
      </c>
      <c r="E6680" t="inlineStr">
        <is>
          <t>HERRLJUNGA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48513-2021</t>
        </is>
      </c>
      <c r="B6681" s="1" t="n">
        <v>44449</v>
      </c>
      <c r="C6681" s="1" t="n">
        <v>45586</v>
      </c>
      <c r="D6681" t="inlineStr">
        <is>
          <t>VÄSTRA GÖTALANDS LÄN</t>
        </is>
      </c>
      <c r="E6681" t="inlineStr">
        <is>
          <t>BOLLEBYGD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48311-2021</t>
        </is>
      </c>
      <c r="B6682" s="1" t="n">
        <v>44450</v>
      </c>
      <c r="C6682" s="1" t="n">
        <v>45586</v>
      </c>
      <c r="D6682" t="inlineStr">
        <is>
          <t>VÄSTRA GÖTALANDS LÄN</t>
        </is>
      </c>
      <c r="E6682" t="inlineStr">
        <is>
          <t>KUNGÄLV</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48312-2021</t>
        </is>
      </c>
      <c r="B6683" s="1" t="n">
        <v>44450</v>
      </c>
      <c r="C6683" s="1" t="n">
        <v>45586</v>
      </c>
      <c r="D6683" t="inlineStr">
        <is>
          <t>VÄSTRA GÖTALANDS LÄN</t>
        </is>
      </c>
      <c r="E6683" t="inlineStr">
        <is>
          <t>KUNGÄLV</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45586</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45586</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45586</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45586</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45586</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45586</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45586</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45586</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45586</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45586</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45586</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45586</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45586</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45586</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45586</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45586</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45586</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45586</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45586</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45586</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45586</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45586</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45586</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45586</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45586</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45586</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45586</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45586</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45586</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45586</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45586</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45586</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45586</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45586</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45586</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45586</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45586</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45586</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45586</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45586</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45586</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45586</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45586</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45586</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45586</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45586</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45586</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45586</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45586</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45586</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45586</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45586</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45586</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45586</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45586</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45586</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45586</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45586</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45586</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45586</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45586</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45586</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45586</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45586</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45586</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45586</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45586</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45586</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45586</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45586</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45586</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45586</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45586</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45586</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45586</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45586</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45586</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45586</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45586</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45586</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45586</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45586</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45586</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45586</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45586</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45586</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45586</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45586</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45586</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45586</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45586</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45586</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45586</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45586</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45586</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45586</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45586</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45586</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45586</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45586</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45586</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45586</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45586</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45586</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45586</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45586</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45586</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45586</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45586</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45586</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45586</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45586</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45586</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45586</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45586</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45586</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45586</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45586</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45586</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45586</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45586</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45586</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45586</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45586</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45586</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45586</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45586</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45586</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45586</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45586</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45586</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45586</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45586</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45586</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45586</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45586</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45586</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45586</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45586</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45586</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45586</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45586</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45586</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45586</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45586</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45586</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45586</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45586</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45586</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45586</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45586</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45586</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45586</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45586</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45586</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45586</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45586</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45586</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45586</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45586</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45586</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45586</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45586</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45586</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45586</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45586</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45586</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45586</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45586</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45586</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45586</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45586</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45586</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45586</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45586</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45586</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45586</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45586</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45586</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45586</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45586</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45586</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45586</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45586</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45586</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45586</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45586</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45586</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45586</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45586</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45586</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45586</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45586</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45586</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45586</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45586</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45586</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45586</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45586</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45586</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45586</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45586</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45586</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45586</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45586</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45586</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45586</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45586</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45586</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45586</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45586</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45586</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45586</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45586</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45586</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45586</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45586</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45586</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45586</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45586</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45586</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45586</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45586</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45586</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45586</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45586</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45586</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45586</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45586</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45586</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45586</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45586</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45586</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45586</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45586</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45586</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45586</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45586</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45586</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45586</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45586</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45586</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45586</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45586</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45586</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45586</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45586</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45586</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45586</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45586</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45586</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45586</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45586</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45586</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45586</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45586</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45586</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45586</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45586</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45586</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45586</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45586</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45586</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45586</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45586</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45586</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45586</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45586</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45586</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45586</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45586</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45586</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45586</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45586</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45586</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45586</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45586</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45586</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45586</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45586</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45586</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45586</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45586</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45586</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45586</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45586</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45586</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45586</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45586</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45586</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45586</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45586</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45586</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45586</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45586</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45586</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45586</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45586</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45586</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45586</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45586</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45586</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45586</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45586</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45586</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45586</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45586</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45586</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45586</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45586</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45586</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45586</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45586</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45586</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45586</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45586</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45586</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45586</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45586</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45586</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45586</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45586</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45586</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45586</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45586</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45586</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45586</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45586</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45586</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45586</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45586</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45586</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45586</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45586</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45586</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45586</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45586</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45586</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45586</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45586</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45586</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45586</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45586</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45586</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45586</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45586</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45586</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45586</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45586</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45586</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45586</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45586</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45586</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45586</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45586</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45586</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45586</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45586</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45586</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45586</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45586</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45586</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45586</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45586</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45586</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45586</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45586</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45586</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45586</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45586</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45586</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45586</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45586</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45586</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45586</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45586</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45586</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45586</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45586</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45586</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45586</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45586</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45586</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45586</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45586</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45586</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45586</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45586</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45586</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45586</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45586</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45586</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45586</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45586</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45586</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45586</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45586</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45586</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45586</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45586</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45586</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45586</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45586</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45586</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45586</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45586</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45586</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45586</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45586</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45586</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45586</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45586</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45586</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45586</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45586</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45586</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45586</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45586</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45586</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45586</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45586</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45586</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45586</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45586</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45586</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45586</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45586</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45586</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45586</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45586</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45586</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45586</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45586</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45586</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45586</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45586</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45586</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45586</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45586</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45586</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45586</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45586</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45586</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45586</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45586</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45586</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45586</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45586</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45586</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45586</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45586</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45586</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45586</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45586</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45586</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45586</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45586</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45586</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45586</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45586</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45586</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45586</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45586</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45586</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45586</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45586</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45586</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45586</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45586</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45586</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45586</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45586</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45586</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45586</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45586</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45586</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45586</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45586</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45586</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45586</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45586</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45586</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45586</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45586</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45586</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45586</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45586</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45586</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45586</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45586</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45586</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45586</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45586</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45586</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45586</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45586</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45586</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45586</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45586</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45586</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45586</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45586</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45586</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45586</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45586</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45586</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45586</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45586</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45586</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45586</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45586</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45586</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45586</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45586</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45586</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45586</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45586</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45586</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45586</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45586</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45586</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45586</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45586</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45586</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45586</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45586</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45586</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45586</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45586</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45586</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45586</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45586</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45586</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45586</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45586</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45586</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45586</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45586</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45586</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45586</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45586</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45586</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45586</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45586</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45586</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45586</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45586</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45586</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45586</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45586</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45586</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45586</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45586</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45586</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45586</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45586</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45586</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45586</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45586</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45586</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45586</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45586</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45586</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45586</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45586</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45586</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45586</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45586</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45586</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45586</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45586</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45586</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45586</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45586</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45586</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45586</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45586</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45586</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45586</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45586</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45586</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45586</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45586</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45586</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45586</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45586</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45586</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45586</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45586</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45586</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45586</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45586</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45586</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45586</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45586</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45586</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45586</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45586</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45586</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45586</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45586</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45586</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45586</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45586</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45586</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45586</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45586</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45586</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45586</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45586</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45586</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45586</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45586</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45586</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45586</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45586</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45586</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45586</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45586</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45586</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45586</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45586</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45586</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45586</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45586</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45586</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45586</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45586</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45586</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45586</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45586</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45586</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45586</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45586</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45586</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45586</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45586</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45586</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45586</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45586</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45586</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45586</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45586</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45586</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45586</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45586</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45586</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45586</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45586</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45586</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45586</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45586</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45586</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45586</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45586</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45586</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45586</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45586</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45586</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45586</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45586</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45586</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45586</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45586</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45586</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45586</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45586</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45586</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45586</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45586</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45586</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45586</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45586</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45586</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45586</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45586</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45586</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45586</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45586</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45586</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45586</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45586</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45586</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45586</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45586</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45586</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45586</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45586</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45586</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45586</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45586</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45586</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45586</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45586</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45586</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45586</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45586</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45586</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45586</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45586</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45586</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45586</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45586</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45586</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45586</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45586</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45586</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45586</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45586</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45586</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45586</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45586</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45586</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45586</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45586</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45586</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45586</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45586</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45586</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45586</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45586</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45586</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45586</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45586</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45586</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45586</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45586</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45586</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45586</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45586</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45586</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45586</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45586</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45586</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45586</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45586</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45586</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45586</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45586</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45586</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45586</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45586</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45586</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45586</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45586</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45586</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45586</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45586</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45586</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45586</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45586</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45586</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45586</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45586</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45586</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45586</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45586</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45586</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45586</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45586</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45586</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45586</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45586</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45586</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45586</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45586</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45586</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45586</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45586</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45586</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45586</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45586</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45586</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45586</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45586</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45586</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45586</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45586</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45586</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45586</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45586</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45586</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45586</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45586</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45586</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45586</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45586</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45586</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45586</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45586</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45586</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45586</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45586</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45586</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45586</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45586</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45586</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45586</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45586</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45586</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45586</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45586</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45586</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45586</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45586</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45586</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45586</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45586</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45586</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45586</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45586</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45586</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45586</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45586</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45586</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45586</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45586</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45586</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45586</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45586</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45586</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45586</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45586</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45586</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45586</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45586</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45586</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45586</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45586</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45586</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45586</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45586</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45586</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45586</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45586</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45586</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45586</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45586</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45586</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45586</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45586</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45586</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45586</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45586</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45586</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45586</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45586</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45586</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45586</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45586</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45586</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45586</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45586</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45586</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45586</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45586</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45586</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45586</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45586</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45586</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45586</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45586</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45586</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45586</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45586</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45586</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45586</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45586</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45586</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45586</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45586</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45586</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45586</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45586</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45586</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45586</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45586</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45586</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45586</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45586</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45586</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45586</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45586</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45586</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45586</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45586</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45586</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45586</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45586</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45586</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45586</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45586</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45586</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45586</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45586</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45586</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45586</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45586</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45586</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45586</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45586</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45586</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45586</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45586</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45586</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45586</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45586</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45586</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45586</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45586</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45586</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45586</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45586</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45586</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45586</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45586</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45586</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45586</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45586</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45586</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45586</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45586</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45586</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45586</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45586</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45586</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45586</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45586</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45586</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45586</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45586</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45586</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45586</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45586</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45586</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45586</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45586</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45586</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45586</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45586</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45586</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45586</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45586</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45586</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45586</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45586</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45586</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45586</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45586</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45586</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45586</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45586</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45586</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45586</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45586</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45586</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45586</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45586</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45586</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45586</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45586</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45586</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45586</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45586</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45586</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45586</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45586</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45586</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45586</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45586</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45586</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45586</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45586</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45586</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45586</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45586</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45586</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45586</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45586</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45586</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45586</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45586</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45586</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45586</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45586</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45586</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45586</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45586</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45586</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45586</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45586</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45586</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45586</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45586</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45586</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45586</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45586</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45586</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45586</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45586</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45586</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45586</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45586</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45586</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45586</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45586</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45586</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45586</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45586</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45586</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45586</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45586</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45586</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45586</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45586</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45586</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45586</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45586</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45586</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45586</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45586</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45586</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45586</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45586</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45586</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45586</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45586</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45586</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45586</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45586</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45586</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45586</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45586</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45586</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45586</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45586</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45586</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45586</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45586</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45586</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45586</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45586</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45586</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45586</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45586</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45586</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45586</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45586</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45586</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45586</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45586</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45586</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45586</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45586</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45586</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45586</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45586</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45586</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45586</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45586</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45586</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45586</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45586</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45586</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45586</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45586</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45586</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45586</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45586</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45586</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45586</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45586</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45586</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45586</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45586</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45586</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45586</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45586</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45586</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45586</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45586</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45586</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45586</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45586</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45586</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45586</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45586</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45586</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45586</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45586</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45586</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45586</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45586</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45586</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45586</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45586</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45586</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45586</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45586</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45586</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45586</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45586</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45586</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45586</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45586</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45586</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45586</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45586</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45586</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45586</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45586</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45586</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45586</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45586</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45586</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45586</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45586</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45586</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45586</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45586</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45586</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45586</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45586</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45586</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45586</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45586</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45586</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45586</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45586</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45586</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45586</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45586</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45586</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45586</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45586</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45586</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45586</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45586</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45586</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45586</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45586</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45586</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45586</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45586</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45586</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45586</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45586</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45586</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45586</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45586</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45586</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45586</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45586</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45586</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45586</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45586</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45586</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45586</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45586</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45586</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45586</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45586</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45586</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45586</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45586</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45586</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45586</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45586</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45586</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45586</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45586</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45586</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45586</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45586</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45586</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45586</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45586</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45586</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45586</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45586</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45586</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45586</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45586</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45586</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45586</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45586</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45586</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45586</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45586</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45586</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45586</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45586</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45586</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45586</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45586</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45586</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45586</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45586</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45586</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45586</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45586</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45586</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45586</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45586</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45586</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45586</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45586</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45586</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45586</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45586</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45586</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45586</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45586</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45586</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45586</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45586</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45586</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45586</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45586</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45586</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45586</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45586</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45586</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45586</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45586</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45586</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45586</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45586</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45586</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45586</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45586</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45586</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45586</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45586</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45586</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45586</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45586</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45586</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45586</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45586</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45586</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45586</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45586</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45586</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45586</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45586</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45586</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45586</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45586</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45586</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45586</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45586</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45586</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45586</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45586</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45586</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45586</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45586</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45586</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45586</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45586</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45586</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45586</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45586</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45586</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45586</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45586</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45586</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45586</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45586</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45586</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45586</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45586</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45586</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45586</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45586</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45586</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45586</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45586</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45586</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45586</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45586</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45586</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45586</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45586</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45586</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45586</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45586</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45586</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45586</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45586</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45586</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45586</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45586</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45586</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45586</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45586</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45586</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45586</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45586</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45586</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45586</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45586</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45586</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45586</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45586</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45586</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45586</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45586</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45586</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45586</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45586</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45586</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45586</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45586</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45586</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45586</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45586</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45586</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45586</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45586</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45586</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45586</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45586</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45586</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45586</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45586</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45586</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45586</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45586</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45586</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45586</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45586</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45586</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45586</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45586</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45586</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45586</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45586</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45586</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45586</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45586</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45586</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45586</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45586</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45586</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45586</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45586</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45586</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45586</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45586</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45586</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45586</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45586</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45586</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45586</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45586</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45586</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45586</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45586</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45586</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45586</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45586</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45586</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45586</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45586</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45586</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45586</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45586</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45586</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45586</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45586</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45586</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45586</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45586</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45586</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45586</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45586</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45586</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45586</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45586</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45586</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45586</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45586</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45586</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45586</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45586</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45586</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45586</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45586</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45586</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45586</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45586</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45586</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45586</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45586</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45586</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45586</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45586</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45586</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45586</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45586</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45586</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45586</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45586</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45586</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45586</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45586</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45586</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45586</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45586</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45586</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45586</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45586</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45586</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45586</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45586</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45586</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45586</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45586</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45586</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45586</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45586</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45586</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45586</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45586</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45586</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45586</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45586</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45586</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45586</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45586</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45586</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45586</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45586</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45586</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45586</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45586</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45586</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45586</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45586</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45586</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45586</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45586</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45586</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45586</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45586</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45586</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45586</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45586</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45586</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45586</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45586</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45586</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45586</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45586</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45586</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45586</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45586</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45586</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45586</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45586</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45586</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45586</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45586</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45586</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45586</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45586</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45586</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45586</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45586</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45586</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45586</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45586</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45586</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45586</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45586</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45586</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45586</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45586</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45586</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45586</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45586</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45586</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45586</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45586</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45586</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45586</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45586</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45586</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45586</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45586</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45586</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45586</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45586</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45586</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45586</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45586</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45586</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45586</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45586</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45586</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45586</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45586</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45586</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45586</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45586</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45586</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45586</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45586</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45586</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45586</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45586</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45586</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45586</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45586</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45586</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45586</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45586</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45586</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45586</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45586</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45586</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45586</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45586</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45586</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45586</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45586</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45586</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45586</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45586</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45586</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45586</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45586</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45586</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45586</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45586</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45586</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45586</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45586</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45586</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45586</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45586</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45586</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45586</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45586</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45586</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45586</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45586</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45586</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45586</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45586</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45586</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45586</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45586</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45586</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45586</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45586</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45586</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45586</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45586</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45586</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45586</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45586</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45586</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45586</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45586</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45586</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45586</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45586</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45586</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45586</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45586</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45586</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45586</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45586</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45586</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45586</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45586</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45586</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45586</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45586</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45586</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45586</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45586</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45586</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45586</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45586</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45586</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45586</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45586</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45586</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45586</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45586</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45586</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45586</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45586</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45586</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45586</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45586</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45586</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45586</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45586</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45586</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45586</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45586</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45586</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45586</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45586</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45586</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45586</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45586</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45586</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45586</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45586</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45586</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45586</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45586</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45586</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45586</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45586</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45586</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45586</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45586</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45586</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45586</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45586</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45586</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45586</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45586</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45586</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45586</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45586</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45586</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45586</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45586</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45586</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45586</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45586</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45586</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45586</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45586</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45586</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45586</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45586</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45586</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45586</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45586</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45586</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45586</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45586</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45586</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45586</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45586</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45586</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45586</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45586</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45586</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45586</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45586</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45586</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45586</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45586</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45586</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45586</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45586</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45586</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45586</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45586</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45586</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45586</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45586</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45586</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45586</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45586</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45586</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45586</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45586</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45586</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45586</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45586</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45586</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45586</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45586</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45586</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45586</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45586</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45586</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45586</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45586</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45586</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45586</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45586</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45586</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45586</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45586</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45586</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45586</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45586</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45586</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45586</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45586</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45586</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45586</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45586</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45586</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45586</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45586</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45586</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45586</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45586</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45586</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45586</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45586</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45586</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45586</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45586</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45586</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45586</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45586</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45586</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45586</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45586</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45586</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45586</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45586</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45586</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45586</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45586</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45586</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45586</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45586</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45586</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45586</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45586</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45586</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45586</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45586</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45586</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45586</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45586</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45586</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45586</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45586</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45586</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45586</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45586</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45586</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45586</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45586</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45586</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45586</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45586</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45586</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45586</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45586</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45586</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45586</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45586</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45586</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45586</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45586</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45586</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45586</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45586</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45586</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45586</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45586</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45586</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45586</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45586</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45586</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45586</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45586</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45586</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45586</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45586</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45586</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45586</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45586</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45586</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45586</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45586</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45586</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45586</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45586</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45586</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45586</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45586</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45586</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45586</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45586</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45586</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45586</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45586</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45586</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45586</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45586</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45586</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45586</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45586</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45586</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45586</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45586</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45586</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45586</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45586</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45586</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45586</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45586</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45586</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45586</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45586</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45586</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45586</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45586</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45586</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45586</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45586</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45586</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45586</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45586</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45586</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45586</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45586</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45586</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45586</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45586</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45586</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45586</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45586</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45586</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45586</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45586</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45586</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45586</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45586</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45586</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45586</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45586</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45586</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45586</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45586</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45586</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45586</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45586</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45586</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45586</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45586</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45586</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45586</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45586</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45586</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45586</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45586</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45586</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45586</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45586</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45586</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45586</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45586</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45586</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45586</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45586</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45586</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45586</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45586</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45586</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45586</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45586</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45586</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45586</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45586</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45586</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45586</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45586</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45586</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45586</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45586</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45586</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45586</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45586</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45586</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45586</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45586</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45586</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45586</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45586</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45586</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45586</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45586</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45586</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45586</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45586</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45586</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45586</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45586</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45586</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45586</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45586</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45586</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45586</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45586</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45586</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45586</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45586</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45586</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45586</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45586</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45586</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45586</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45586</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45586</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45586</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45586</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45586</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45586</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45586</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45586</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45586</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45586</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45586</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45586</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45586</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45586</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45586</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45586</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45586</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45586</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45586</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45586</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45586</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45586</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45586</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45586</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45586</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45586</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45586</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45586</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45586</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45586</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45586</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45586</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45586</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45586</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45586</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45586</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45586</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45586</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45586</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45586</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45586</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45586</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45586</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45586</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45586</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45586</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45586</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45586</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45586</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45586</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45586</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45586</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45586</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45586</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45586</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45586</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45586</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45586</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45586</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45586</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45586</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45586</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45586</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45586</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45586</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45586</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45586</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45586</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45586</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45586</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45586</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45586</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45586</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45586</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45586</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45586</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45586</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45586</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45586</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45586</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45586</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45586</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45586</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45586</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45586</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45586</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45586</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45586</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45586</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45586</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45586</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45586</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45586</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45586</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45586</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45586</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45586</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45586</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45586</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45586</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45586</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45586</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45586</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45586</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45586</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45586</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45586</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45586</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45586</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45586</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45586</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45586</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45586</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45586</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45586</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45586</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45586</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45586</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45586</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45586</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45586</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45586</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45586</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45586</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45586</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45586</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45586</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45586</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45586</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45586</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45586</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45586</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45586</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45586</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45586</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45586</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45586</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45586</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45586</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45586</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45586</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45586</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45586</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45586</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45586</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45586</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45586</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45586</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45586</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45586</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45586</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45586</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45586</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45586</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45586</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45586</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45586</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45586</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45586</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45586</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45586</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45586</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45586</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45586</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45586</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45586</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45586</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45586</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45586</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45586</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45586</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45586</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45586</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45586</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45586</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45586</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45586</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45586</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45586</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45586</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45586</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45586</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45586</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45586</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45586</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45586</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45586</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45586</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45586</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45586</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45586</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45586</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45586</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45586</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45586</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45586</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45586</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45586</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45586</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45586</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45586</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45586</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45586</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45586</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45586</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45586</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45586</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45586</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45586</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45586</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45586</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45586</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45586</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45586</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45586</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45586</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45586</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45586</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45586</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45586</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45586</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45586</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45586</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45586</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45586</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45586</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45586</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45586</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45586</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45586</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45586</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45586</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45586</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45586</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45586</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45586</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45586</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45586</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45586</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45586</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45586</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45586</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45586</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45586</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45586</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45586</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45586</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45586</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45586</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45586</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45586</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45586</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45586</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45586</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45586</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45586</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45586</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45586</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45586</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45586</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45586</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45586</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45586</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45586</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45586</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45586</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45586</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45586</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45586</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45586</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45586</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45586</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45586</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45586</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45586</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45586</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45586</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45586</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45586</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45586</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45586</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45586</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45586</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45586</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45586</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45586</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45586</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45586</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45586</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45586</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45586</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45586</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45586</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45586</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45586</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45586</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45586</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45586</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45586</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45586</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45586</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45586</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45586</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45586</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45586</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45586</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45586</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45586</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45586</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45586</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45586</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45586</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45586</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45586</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45586</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45586</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45586</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45586</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45586</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45586</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45586</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45586</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45586</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45586</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45586</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45586</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45586</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45586</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45586</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45586</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45586</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45586</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45586</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45586</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45586</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45586</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45586</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45586</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45586</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45586</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45586</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45586</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45586</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45586</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45586</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45586</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45586</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45586</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45586</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45586</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45586</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45586</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45586</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45586</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45586</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45586</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45586</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45586</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45586</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45586</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45586</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45586</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45586</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45586</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45586</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45586</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45586</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45586</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45586</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45586</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45586</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45586</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45586</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45586</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45586</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45586</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45586</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45586</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45586</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45586</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45586</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45586</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45586</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45586</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45586</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45586</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45586</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45586</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45586</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45586</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45586</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45586</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45586</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45586</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45586</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45586</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45586</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45586</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45586</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45586</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45586</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45586</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45586</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45586</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45586</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45586</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45586</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45586</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45586</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45586</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45586</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45586</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45586</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45586</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45586</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45586</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45586</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45586</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45586</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45586</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45586</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45586</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45586</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45586</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45586</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45586</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45586</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45586</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45586</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45586</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45586</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45586</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45586</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45586</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45586</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45586</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45586</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45586</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45586</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45586</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45586</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45586</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45586</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45586</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45586</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45586</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45586</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45586</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45586</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45586</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45586</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45586</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45586</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45586</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45586</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45586</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45586</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45586</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45586</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45586</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45586</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45586</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45586</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45586</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45586</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45586</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45586</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45586</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45586</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45586</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45586</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45586</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45586</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45586</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45586</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45586</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45586</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45586</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45586</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45586</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45586</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45586</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45586</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45586</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45586</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45586</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45586</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45586</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45586</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45586</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45586</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45586</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45586</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45586</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45586</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45586</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45586</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45586</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45586</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45586</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45586</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45586</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45586</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45586</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45586</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45586</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45586</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45586</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45586</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45586</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45586</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45586</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45586</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45586</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45586</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45586</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45586</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45586</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45586</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45586</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45586</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45586</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45586</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45586</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45586</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45586</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45586</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45586</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45586</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45586</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45586</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45586</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45586</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45586</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45586</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45586</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45586</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45586</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45586</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45586</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45586</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45586</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45586</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45586</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45586</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45586</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45586</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45586</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45586</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45586</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45586</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45586</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45586</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45586</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45586</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45586</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45586</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45586</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45586</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45586</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45586</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45586</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45586</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45586</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45586</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45586</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45586</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45586</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45586</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45586</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45586</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45586</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45586</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45586</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45586</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45586</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45586</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45586</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45586</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45586</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45586</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45586</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45586</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45586</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45586</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45586</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45586</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45586</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45586</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45586</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45586</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45586</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45586</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45586</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45586</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45586</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45586</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45586</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45586</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45586</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45586</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45586</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45586</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45586</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45586</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45586</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45586</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45586</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45586</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45586</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45586</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45586</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45586</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45586</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45586</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45586</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45586</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45586</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45586</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45586</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45586</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45586</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45586</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45586</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45586</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45586</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45586</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45586</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45586</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45586</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45586</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45586</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45586</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45586</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45586</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45586</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45586</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45586</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45586</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45586</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45586</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45586</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45586</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45586</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45586</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45586</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45586</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45586</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45586</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45586</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45586</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45586</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45586</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45586</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45586</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45586</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45586</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45586</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45586</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45586</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45586</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45586</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45586</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45586</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45586</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45586</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45586</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45586</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45586</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45586</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45586</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45586</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45586</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45586</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45586</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45586</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45586</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45586</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45586</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45586</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45586</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45586</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45586</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45586</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45586</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45586</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45586</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45586</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45586</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45586</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45586</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45586</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45586</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45586</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45586</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45586</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45586</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45586</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45586</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45586</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45586</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45586</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45586</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45586</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45586</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45586</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45586</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45586</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45586</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45586</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45586</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45586</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45586</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45586</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45586</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45586</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45586</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45586</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45586</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45586</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45586</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45586</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45586</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45586</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45586</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45586</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45586</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45586</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45586</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45586</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45586</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45586</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45586</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45586</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45586</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45586</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45586</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45586</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45586</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45586</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45586</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45586</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45586</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45586</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45586</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45586</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45586</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45586</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45586</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45586</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45586</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45586</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45586</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45586</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45586</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45586</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45586</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45586</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45586</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45586</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45586</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45586</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45586</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45586</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45586</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45586</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45586</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45586</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45586</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45586</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45586</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45586</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45586</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45586</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45586</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45586</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45586</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45586</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45586</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45586</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45586</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45586</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45586</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45586</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45586</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45586</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45586</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45586</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45586</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45586</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45586</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45586</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45586</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45586</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45586</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45586</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45586</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45586</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45586</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45586</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45586</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45586</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45586</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45586</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45586</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45586</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45586</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45586</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45586</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45586</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45586</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45586</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45586</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45586</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45586</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45586</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45586</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45586</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45586</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45586</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45586</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45586</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45586</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45586</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45586</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45586</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45586</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45586</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45586</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45586</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45586</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45586</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45586</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45586</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45586</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45586</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45586</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45586</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45586</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45586</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45586</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45586</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45586</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45586</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45586</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45586</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45586</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45586</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45586</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45586</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45586</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45586</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45586</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45586</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45586</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45586</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45586</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45586</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45586</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45586</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45586</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45586</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45586</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45586</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45586</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45586</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45586</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45586</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45586</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45586</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45586</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45586</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45586</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45586</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45586</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45586</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45586</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45586</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45586</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45586</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45586</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45586</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45586</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45586</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45586</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45586</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45586</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45586</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45586</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45586</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45586</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45586</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45586</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45586</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45586</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45586</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45586</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45586</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45586</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45586</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45586</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45586</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45586</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45586</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45586</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45586</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45586</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45586</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45586</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45586</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45586</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45586</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45586</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45586</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45586</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45586</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45586</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45586</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45586</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45586</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45586</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45586</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45586</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45586</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45586</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45586</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45586</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45586</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45586</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45586</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45586</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45586</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45586</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45586</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45586</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45586</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45586</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45586</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45586</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45586</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45586</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45586</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45586</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45586</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45586</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45586</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45586</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45586</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45586</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45586</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45586</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45586</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45586</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45586</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45586</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45586</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45586</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45586</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45586</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45586</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45586</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45586</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45586</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45586</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45586</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45586</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45586</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45586</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45586</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45586</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45586</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45586</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45586</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45586</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45586</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45586</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45586</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45586</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45586</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45586</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45586</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45586</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45586</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45586</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45586</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45586</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45586</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45586</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45586</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45586</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45586</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45586</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45586</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45586</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45586</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45586</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45586</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45586</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45586</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45586</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45586</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45586</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45586</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45586</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45586</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45586</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45586</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45586</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45586</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45586</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45586</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45586</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45586</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45586</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45586</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45586</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45586</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45586</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45586</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45586</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45586</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45586</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45586</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45586</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45586</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45586</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45586</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45586</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45586</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45586</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45586</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45586</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45586</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45586</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45586</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45586</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45586</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45586</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45586</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45586</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45586</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45586</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45586</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45586</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45586</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45586</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45586</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45586</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45586</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45586</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45586</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45586</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45586</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45586</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45586</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45586</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45586</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45586</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45586</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45586</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45586</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45586</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45586</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45586</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45586</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45586</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45586</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45586</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45586</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45586</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45586</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45586</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45586</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45586</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45586</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45586</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45586</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45586</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45586</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45586</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45586</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45586</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45586</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45586</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45586</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45586</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45586</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45586</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45586</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45586</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45586</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45586</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45586</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45586</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45586</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45586</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45586</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45586</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45586</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45586</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45586</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45586</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45586</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45586</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45586</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45586</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45586</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45586</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45586</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45586</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45586</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45586</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45586</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45586</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45586</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45586</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45586</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45586</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45586</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45586</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45586</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45586</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45586</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45586</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45586</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45586</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45586</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45586</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45586</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45586</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45586</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45586</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45586</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45586</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45586</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45586</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45586</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45586</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45586</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45586</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45586</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45586</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45586</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45586</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45586</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45586</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45586</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45586</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45586</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45586</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45586</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45586</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45586</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45586</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45586</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45586</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45586</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45586</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45586</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45586</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45586</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45586</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45586</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45586</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45586</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45586</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45586</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45586</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45586</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45586</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45586</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45586</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45586</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45586</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45586</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45586</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45586</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45586</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45586</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45586</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45586</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45586</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45586</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45586</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45586</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45586</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45586</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45586</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45586</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45586</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45586</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45586</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45586</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45586</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45586</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45586</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45586</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45586</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45586</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45586</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45586</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45586</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45586</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45586</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45586</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45586</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45586</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45586</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45586</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45586</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45586</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45586</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45586</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45586</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45586</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45586</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45586</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45586</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45586</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45586</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45586</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45586</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45586</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45586</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45586</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45586</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45586</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45586</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45586</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45586</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45586</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45586</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45586</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45586</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45586</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45586</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45586</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45586</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45586</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45586</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45586</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45586</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45586</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45586</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45586</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45586</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45586</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45586</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45586</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45586</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45586</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45586</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45586</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45586</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45586</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45586</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45586</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45586</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45586</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45586</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45586</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45586</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45586</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45586</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45586</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45586</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45586</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45586</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45586</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45586</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45586</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45586</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45586</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45586</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45586</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45586</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45586</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45586</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45586</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45586</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45586</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45586</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45586</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45586</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45586</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45586</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45586</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45586</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45586</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45586</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45586</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45586</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45586</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45586</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45586</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45586</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45586</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45586</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45586</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45586</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45586</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45586</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45586</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45586</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45586</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45586</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45586</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45586</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45586</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45586</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45586</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45586</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45586</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45586</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45586</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45586</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45586</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45586</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45586</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45586</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45586</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45586</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45586</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45586</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45586</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45586</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45586</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45586</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45586</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45586</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45586</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45586</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45586</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45586</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45586</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45586</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45586</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45586</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45586</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45586</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45586</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45586</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45586</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45586</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45586</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45586</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45586</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45586</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45586</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45586</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45586</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45586</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45586</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45586</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45586</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45586</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45586</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45586</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45586</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45586</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45586</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45586</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45586</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45586</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45586</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45586</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45586</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45586</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45586</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45586</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45586</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45586</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45586</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45586</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45586</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45586</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45586</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45586</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45586</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45586</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45586</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45586</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45586</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45586</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45586</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45586</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45586</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45586</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45586</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45586</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45586</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45586</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45586</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45586</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45586</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45586</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45586</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45586</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45586</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45586</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45586</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45586</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45586</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45586</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45586</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45586</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45586</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45586</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45586</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45586</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45586</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45586</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45586</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45586</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45586</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45586</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45586</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45586</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45586</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45586</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45586</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45586</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45586</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45586</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45586</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45586</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45586</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45586</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45586</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45586</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45586</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45586</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45586</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45586</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45586</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45586</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45586</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45586</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45586</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45586</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45586</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45586</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45586</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45586</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45586</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45586</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45586</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45586</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45586</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45586</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45586</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45586</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45586</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45586</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45586</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45586</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45586</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45586</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45586</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45586</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45586</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45586</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45586</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45586</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45586</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45586</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45586</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45586</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45586</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45586</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45586</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45586</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45586</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45586</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45586</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45586</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45586</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45586</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45586</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45586</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45586</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45586</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45586</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45586</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45586</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45586</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45586</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45586</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45586</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45586</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45586</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45586</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45586</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45586</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45586</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45586</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45586</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45586</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45586</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45586</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45586</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45586</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45586</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45586</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45586</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45586</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45586</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45586</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45586</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45586</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45586</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45586</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45586</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45586</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45586</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45586</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45586</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45586</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45586</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45586</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45586</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45586</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45586</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45586</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45586</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45586</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45586</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45586</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45586</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45586</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45586</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45586</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45586</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45586</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45586</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45586</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45586</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45586</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45586</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45586</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45586</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45586</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45586</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45586</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45586</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45586</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45586</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45586</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45586</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45586</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45586</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45586</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45586</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45586</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45586</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45586</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45586</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45586</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45586</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45586</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45586</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45586</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45586</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45586</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45586</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45586</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45586</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45586</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45586</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45586</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45586</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45586</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45586</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45586</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45586</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45586</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45586</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45586</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45586</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45586</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45586</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45586</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45586</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45586</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45586</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45586</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45586</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45586</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45586</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45586</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45586</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45586</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45586</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45586</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45586</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45586</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45586</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45586</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45586</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45586</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45586</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45586</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45586</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45586</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45586</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45586</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45586</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45586</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45586</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45586</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45586</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45586</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45586</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45586</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45586</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45586</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45586</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45586</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45586</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45586</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45586</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45586</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45586</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45586</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45586</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45586</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45586</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45586</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45586</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45586</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45586</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45586</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45586</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45586</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45586</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45586</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45586</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45586</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45586</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45586</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45586</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45586</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45586</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45586</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45586</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45586</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45586</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45586</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45586</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45586</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45586</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45586</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45586</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45586</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45586</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45586</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45586</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45586</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45586</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45586</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45586</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45586</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45586</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45586</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45586</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45586</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45586</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45586</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45586</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45586</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45586</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45586</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45586</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45586</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45586</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45586</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45586</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45586</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45586</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45586</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45586</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45586</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45586</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45586</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45586</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45586</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45586</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45586</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45586</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45586</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45586</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45586</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45586</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45586</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45586</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45586</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45586</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45586</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45586</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45586</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45586</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45586</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45586</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45586</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45586</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45586</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45586</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45586</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45586</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45586</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45586</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45586</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45586</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45586</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45586</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45586</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45586</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45586</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45586</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45586</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45586</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45586</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45586</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45586</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45586</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45586</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45586</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45586</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45586</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45586</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45586</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45586</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45586</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45586</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45586</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45586</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45586</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45586</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45586</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45586</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45586</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45586</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45586</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45586</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45586</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45586</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45586</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45586</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45586</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45586</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45586</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45586</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45586</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45586</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45586</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45586</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45586</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45586</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45586</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45586</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45586</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45586</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45586</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45586</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45586</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45586</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45586</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45586</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45586</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45586</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45586</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45586</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45586</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45586</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45586</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45586</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45586</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45586</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45586</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45586</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45586</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45586</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45586</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45586</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45586</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45586</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45586</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45586</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45586</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45586</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45586</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45586</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45586</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45586</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45586</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45586</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45586</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45586</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45586</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45586</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45586</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45586</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45586</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45586</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45586</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45586</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45586</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45586</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45586</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45586</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45586</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45586</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45586</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45586</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45586</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45586</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45586</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45586</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45586</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45586</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45586</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45586</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45586</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45586</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45586</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45586</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45586</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45586</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45586</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45586</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45586</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45586</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45586</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45586</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45586</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45586</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45586</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45586</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45586</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45586</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45586</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45586</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45586</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45586</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45586</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45586</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45586</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45586</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45586</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45586</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45586</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45586</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45586</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45586</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45586</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45586</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45586</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45586</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45586</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45586</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45586</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45586</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45586</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45586</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45586</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45586</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45586</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45586</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45586</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45586</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45586</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45586</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45586</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45586</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45586</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45586</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45586</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45586</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45586</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45586</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45586</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45586</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45586</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45586</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45586</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45586</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45586</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45586</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45586</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45586</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45586</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45586</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45586</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45586</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45586</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45586</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45586</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45586</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45586</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45586</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45586</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45586</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45586</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45586</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45586</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45586</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45586</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45586</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45586</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45586</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45586</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45586</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45586</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45586</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45586</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45586</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45586</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45586</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45586</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45586</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45586</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45586</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45586</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45586</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45586</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45586</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45586</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45586</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45586</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45586</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45586</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45586</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45586</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45586</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45586</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45586</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45586</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45586</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45586</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45586</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45586</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45586</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45586</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45586</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45586</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45586</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45586</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45586</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45586</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45586</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45586</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45586</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45586</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45586</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45586</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45586</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45586</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45586</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45586</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45586</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45586</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45586</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45586</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45586</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45586</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45586</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45586</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45586</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45586</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45586</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45586</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45586</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45586</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45586</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45586</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45586</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45586</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45586</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45586</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45586</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45586</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45586</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45586</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45586</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45586</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45586</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45586</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45586</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45586</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45586</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45586</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45586</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45586</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45586</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45586</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45586</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45586</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45586</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45586</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45586</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45586</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45586</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45586</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45586</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45586</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45586</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45586</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45586</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45586</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45586</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45586</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45586</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45586</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45586</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45586</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45586</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45586</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45586</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45586</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45586</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45586</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45586</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45586</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45586</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45586</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45586</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45586</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45586</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45586</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45586</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45586</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45586</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45586</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45586</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45586</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45586</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45586</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45586</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45586</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45586</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45586</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45586</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45586</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45586</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45586</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45586</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45586</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45586</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45586</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45586</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45586</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45586</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45586</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45586</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45586</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45586</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45586</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45586</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45586</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45586</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45586</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45586</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45586</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45586</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45586</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45586</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45586</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45586</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45586</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45586</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45586</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45586</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45586</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45586</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45586</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45586</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45586</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45586</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45586</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45586</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45586</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45586</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45586</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45586</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45586</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45586</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45586</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45586</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45586</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45586</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45586</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45586</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45586</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45586</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45586</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45586</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45586</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45586</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45586</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45586</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45586</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45586</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45586</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45586</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45586</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45586</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45586</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45586</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45586</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45586</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45586</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45586</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45586</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45586</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45586</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45586</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45586</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45586</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45586</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45586</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45586</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45586</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45586</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45586</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45586</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45586</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45586</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45586</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45586</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45586</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45586</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45586</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45586</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45586</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45586</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45586</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45586</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45586</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45586</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45586</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45586</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45586</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45586</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45586</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45586</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45586</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45586</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45586</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45586</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45586</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45586</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45586</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45586</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45586</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45586</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45586</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45586</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45586</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45586</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45586</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45586</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45586</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45586</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45586</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45586</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45586</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45586</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45586</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45586</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45586</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45586</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45586</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45586</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45586</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45586</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45586</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45586</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45586</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45586</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45586</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45586</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45586</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45586</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45586</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45586</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45586</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45586</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45586</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45586</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45586</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45586</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45586</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45586</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45586</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45586</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45586</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45586</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45586</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45586</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45586</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45586</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45586</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45586</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45586</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45586</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45586</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45586</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45586</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45586</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45586</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45586</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45586</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45586</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45586</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45586</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45586</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45586</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45586</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45586</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45586</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45586</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45586</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45586</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45586</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45586</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45586</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45586</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45586</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45586</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45586</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45586</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45586</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45586</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45586</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45586</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45586</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45586</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45586</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45586</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45586</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45586</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45586</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45586</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45586</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45586</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45586</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45586</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45586</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45586</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45586</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45586</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45586</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45586</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45586</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45586</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45586</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45586</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45586</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45586</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45586</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45586</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45586</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45586</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45586</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45586</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45586</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45586</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45586</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45586</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45586</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45586</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45586</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45586</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45586</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45586</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45586</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45586</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45586</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45586</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45586</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45586</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45586</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45586</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45586</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45586</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45586</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45586</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45586</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45586</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45586</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45586</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45586</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45586</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45586</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45586</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45586</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45586</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45586</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45586</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45586</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45586</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45586</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45586</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45586</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45586</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45586</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45586</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45586</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45586</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45586</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45586</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45586</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45586</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45586</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45586</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45586</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45586</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45586</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45586</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45586</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45586</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45586</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45586</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45586</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45586</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45586</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45586</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45586</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45586</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45586</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45586</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45586</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45586</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45586</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45586</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45586</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45586</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45586</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45586</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45586</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45586</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45586</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45586</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45586</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45586</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45586</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45586</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45586</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45586</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45586</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45586</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45586</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45586</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45586</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45586</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45586</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45586</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45586</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45586</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45586</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45586</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45586</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45586</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45586</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45586</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45586</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45586</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45586</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45586</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45586</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45586</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45586</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45586</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45586</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45586</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45586</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45586</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45586</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45586</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45586</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45586</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45586</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45586</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45586</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45586</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45586</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45586</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45586</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45586</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45586</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45586</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45586</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45586</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45586</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45586</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45586</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45586</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45586</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45586</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45586</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45586</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45586</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45586</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45586</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45586</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45586</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45586</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45586</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45586</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45586</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45586</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45586</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45586</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45586</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45586</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45586</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45586</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45586</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45586</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45586</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45586</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45586</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45586</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45586</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45586</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45586</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45586</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45586</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45586</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45586</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45586</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45586</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45586</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45586</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45586</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45586</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45586</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45586</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45586</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45586</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45586</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45586</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45586</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45586</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45586</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45586</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45586</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45586</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45586</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45586</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45586</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45586</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45586</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45586</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45586</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45586</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45586</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45586</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45586</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45586</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45586</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45586</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45586</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45586</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45586</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45586</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45586</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45586</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45586</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45586</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45586</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45586</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45586</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45586</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45586</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45586</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45586</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45586</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45586</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45586</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45586</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45586</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45586</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45586</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45586</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45586</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45586</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45586</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45586</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45586</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45586</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45586</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45586</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45586</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45586</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45586</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45586</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45586</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45586</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45586</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45586</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45586</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45586</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45586</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45586</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45586</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45586</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45586</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45586</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45586</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45586</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45586</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45586</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45586</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45586</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45586</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45586</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45586</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45586</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45586</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45586</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45586</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45586</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45586</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45586</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45586</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45586</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45586</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45586</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45586</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45586</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45586</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45586</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45586</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45586</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45586</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45586</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45586</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45586</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45586</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45586</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45586</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45586</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45586</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45586</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45586</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45586</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45586</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45586</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45586</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45586</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45586</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45586</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45586</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45586</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45586</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45586</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45586</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45586</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45586</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45586</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45586</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45586</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45586</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45586</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45586</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45586</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45586</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45586</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45586</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45586</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45586</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45586</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45586</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45586</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45586</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45586</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45586</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45586</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45586</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45586</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45586</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45586</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45586</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45586</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45586</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45586</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45586</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45586</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45586</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45586</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45586</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45586</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45586</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45586</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45586</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45586</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45586</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45586</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45586</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45586</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45586</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45586</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45586</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45586</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45586</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45586</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45586</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45586</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45586</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45586</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45586</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45586</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45586</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45586</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45586</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45586</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45586</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45586</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45586</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45586</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45586</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45586</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45586</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45586</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45586</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45586</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45586</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45586</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45586</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45586</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45586</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45586</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45586</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45586</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45586</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45586</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45586</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45586</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45586</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45586</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45586</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45586</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45586</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45586</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45586</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45586</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45586</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45586</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45586</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45586</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45586</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45586</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45586</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45586</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45586</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45586</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45586</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45586</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45586</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45586</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45586</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45586</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45586</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45586</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45586</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45586</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45586</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45586</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45586</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45586</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45586</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45586</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45586</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45586</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45586</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45586</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45586</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45586</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45586</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45586</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45586</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45586</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45586</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45586</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45586</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45586</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45586</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45586</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45586</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45586</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45586</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45586</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45586</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45586</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45586</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45586</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45586</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45586</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45586</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45586</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45586</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45586</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45586</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45586</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45586</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45586</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45586</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45586</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45586</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45586</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45586</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45586</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45586</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45586</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45586</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45586</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45586</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45586</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45586</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45586</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45586</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45586</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45586</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45586</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45586</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45586</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45586</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45586</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45586</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45586</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45586</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45586</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45586</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45586</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45586</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45586</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45586</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45586</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45586</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45586</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45586</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45586</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45586</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45586</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45586</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45586</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45586</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45586</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45586</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45586</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45586</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45586</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45586</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45586</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45586</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45586</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45586</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45586</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45586</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45586</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45586</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45586</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45586</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45586</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45586</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45586</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45586</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45586</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45586</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45586</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45586</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45586</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45586</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45586</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45586</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45586</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45586</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45586</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45586</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45586</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45586</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45586</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45586</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45586</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45586</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45586</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45586</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45586</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45586</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45586</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45586</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45586</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45586</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45586</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45586</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45586</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45586</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45586</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45586</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45586</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45586</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45586</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45586</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45586</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45586</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45586</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45586</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45586</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45586</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45586</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45586</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45586</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45586</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45586</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45586</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45586</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45586</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45586</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45586</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45586</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45586</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45586</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45586</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45586</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45586</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45586</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45586</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45586</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45586</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45586</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45586</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45586</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45586</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45586</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45586</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45586</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45586</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45586</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45586</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45586</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45586</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45586</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45586</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45586</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45586</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45586</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45586</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45586</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45586</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45586</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45586</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45586</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45586</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45586</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45586</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45586</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45586</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45586</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45586</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45586</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45586</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45586</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45586</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45586</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45586</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45586</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45586</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45586</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45586</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45586</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45586</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45586</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45586</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45586</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45586</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45586</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45586</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45586</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45586</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45586</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45586</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45586</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45586</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45586</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45586</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45586</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45586</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45586</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45586</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45586</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45586</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45586</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45586</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45586</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45586</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45586</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45586</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45586</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45586</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45586</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45586</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45586</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45586</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45586</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45586</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45586</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45586</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45586</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45586</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45586</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45586</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45586</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45586</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45586</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45586</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45586</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45586</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45586</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45586</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45586</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45586</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45586</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45586</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45586</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45586</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45586</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45586</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45586</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45586</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45586</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45586</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45586</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45586</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45586</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45586</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45586</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45586</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45586</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45586</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45586</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45586</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45586</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45586</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45586</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45586</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45586</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45586</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45586</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45586</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45586</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45586</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45586</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45586</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45586</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45586</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45586</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45586</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45586</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45586</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45586</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45586</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45586</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45586</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45586</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45586</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45586</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45586</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45586</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45586</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45586</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45586</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45586</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45586</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45586</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45586</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45586</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45586</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45586</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45586</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45586</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45586</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45586</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45586</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45586</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45586</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45586</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45586</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45586</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45586</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45586</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45586</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45586</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45586</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45586</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45586</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45586</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45586</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45586</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45586</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45586</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45586</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45586</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45586</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45586</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45586</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45586</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45586</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45586</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45586</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45586</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45586</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45586</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45586</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45586</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45586</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45586</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45586</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45586</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45586</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45586</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45586</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45586</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45586</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45586</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45586</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45586</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45586</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45586</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45586</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45586</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45586</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45586</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45586</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45586</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45586</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45586</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45586</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45586</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45586</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45586</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45586</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45586</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45586</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45586</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45586</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45586</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45586</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45586</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45586</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45586</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45586</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45586</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45586</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45586</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45586</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45586</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45586</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45586</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45586</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45586</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45586</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45586</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45586</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45586</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45586</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45586</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45586</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45586</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45586</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45586</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45586</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45586</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45586</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45586</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45586</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45586</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45586</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45586</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45586</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45586</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45586</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45586</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45586</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45586</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45586</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45586</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45586</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45586</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45586</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45586</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45586</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45586</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45586</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45586</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45586</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45586</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45586</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45586</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45586</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45586</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45586</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45586</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45586</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45586</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45586</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45586</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45586</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45586</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45586</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45586</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45586</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45586</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45586</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45586</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45586</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45586</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45586</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45586</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45586</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45586</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45586</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45586</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45586</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45586</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45586</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45586</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45586</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45586</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45586</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45586</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45586</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45586</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45586</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45586</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45586</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45586</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45586</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45586</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45586</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45586</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45586</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45586</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45586</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45586</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45586</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45586</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45586</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45586</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45586</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45586</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45586</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45586</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45586</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45586</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45586</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45586</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45586</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45586</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45586</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45586</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45586</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45586</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45586</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45586</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45586</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45586</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45586</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45586</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45586</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45586</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45586</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45586</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45586</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45586</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45586</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45586</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45586</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45586</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45586</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45586</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45586</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45586</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45586</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45586</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45586</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45586</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45586</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45586</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45586</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45586</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45586</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45586</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45586</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45586</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45586</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45586</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45586</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45586</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45586</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45586</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45586</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45586</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45586</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45586</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45586</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45586</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45586</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45586</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45586</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45586</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45586</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45586</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45586</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45586</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45586</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45586</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45586</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45586</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45586</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45586</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45586</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45586</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45586</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45586</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45586</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45586</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45586</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45586</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45586</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45586</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45586</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45586</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45586</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45586</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45586</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45586</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45586</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45586</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45586</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45586</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45586</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45586</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45586</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45586</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45586</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45586</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45586</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45586</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45586</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45586</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45586</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45586</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45586</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45586</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45586</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45586</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45586</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45586</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45586</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45586</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45586</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45586</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45586</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45586</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45586</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45586</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45586</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45586</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45586</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45586</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45586</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45586</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45586</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45586</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45586</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45586</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45586</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45586</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45586</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45586</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45586</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45586</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45586</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45586</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45586</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45586</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45586</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45586</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45586</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45586</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45586</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45586</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45586</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45586</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45586</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45586</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45586</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45586</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45586</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45586</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45586</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45586</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45586</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45586</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45586</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45586</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45586</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45586</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45586</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45586</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45586</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45586</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45586</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45586</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45586</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45586</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45586</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45586</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45586</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45586</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45586</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45586</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45586</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45586</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45586</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45586</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45586</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45586</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45586</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45586</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45586</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45586</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45586</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45586</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45586</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45586</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45586</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45586</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45586</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45586</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45586</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45586</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45586</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45586</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45586</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45586</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45586</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45586</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45586</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45586</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45586</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45586</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45586</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45586</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45586</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45586</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45586</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45586</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45586</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45586</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45586</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45586</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45586</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45586</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45586</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45586</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45586</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45586</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45586</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45586</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45586</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45586</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45586</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45586</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45586</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45586</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45586</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45586</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45586</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45586</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45586</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45586</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45586</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45586</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45586</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45586</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45586</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45586</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45586</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45586</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45586</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45586</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45586</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45586</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45586</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45586</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45586</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45586</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45586</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45586</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45586</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45586</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45586</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45586</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45586</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45586</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45586</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45586</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45586</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45586</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45586</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45586</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45586</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45586</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45586</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45586</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45586</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45586</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45586</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45586</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45586</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45586</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45586</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45586</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45586</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45586</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45586</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45586</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45586</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45586</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45586</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45586</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45586</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45586</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45586</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45586</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45586</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45586</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45586</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45586</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45586</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45586</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45586</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45586</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45586</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45586</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45586</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45586</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45586</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45586</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45586</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45586</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45586</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45586</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45586</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45586</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45586</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45586</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45586</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45586</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45586</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45586</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45586</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45586</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45586</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45586</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45586</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45586</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45586</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45586</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45586</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45586</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45586</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45586</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45586</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45586</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45586</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45586</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45586</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45586</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45586</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45586</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45586</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45586</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45586</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45586</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45586</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45586</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45586</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45586</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45586</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45586</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45586</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45586</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45586</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45586</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45586</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45586</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45586</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45586</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45586</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45586</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45586</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45586</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45586</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45586</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45586</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45586</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45586</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45586</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45586</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45586</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45586</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45586</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45586</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45586</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45586</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45586</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45586</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45586</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45586</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45586</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45586</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45586</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45586</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45586</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45586</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45586</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45586</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45586</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45586</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45586</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45586</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45586</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45586</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45586</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45586</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45586</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45586</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45586</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45586</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45586</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45586</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45586</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45586</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45586</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45586</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45586</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45586</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45586</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45586</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45586</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45586</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45586</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45586</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45586</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45586</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45586</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45586</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45586</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45586</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45586</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45586</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45586</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45586</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45586</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45586</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45586</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45586</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45586</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45586</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45586</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45586</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45586</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45586</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45586</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45586</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45586</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45586</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45586</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45586</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45586</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45586</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45586</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45586</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45586</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45586</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45586</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45586</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45586</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45586</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45586</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45586</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45586</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45586</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45586</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45586</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45586</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45586</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45586</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45586</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45586</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45586</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45586</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45586</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45586</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45586</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45586</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45586</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45586</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45586</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45586</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45586</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45586</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45586</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45586</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45586</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45586</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45586</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45586</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45586</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45586</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45586</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45586</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45586</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45586</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45586</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45586</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45586</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45586</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45586</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45586</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45586</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45586</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45586</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45586</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45586</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45586</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45586</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45586</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45586</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45586</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45586</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45586</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45586</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45586</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45586</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45586</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45586</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45586</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45586</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45586</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45586</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45586</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45586</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45586</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45586</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45586</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45586</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45586</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45586</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45586</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45586</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45586</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45586</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45586</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45586</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45586</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45586</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45586</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45586</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45586</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45586</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45586</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45586</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45586</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45586</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45586</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45586</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45586</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45586</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45586</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45586</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45586</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45586</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45586</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45586</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45586</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45586</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45586</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45586</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45586</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45586</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45586</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45586</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45586</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45586</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45586</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45586</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45586</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45586</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45586</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45586</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45586</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45586</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45586</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45586</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45586</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45586</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45586</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45586</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45586</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45586</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45586</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45586</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45586</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45586</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45586</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45586</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45586</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45586</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45586</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45586</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45586</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45586</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45586</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45586</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45586</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45586</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45586</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45586</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45586</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45586</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45586</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45586</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45586</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45586</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45586</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45586</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45586</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45586</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45586</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45586</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45586</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45586</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45586</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45586</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45586</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45586</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45586</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45586</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45586</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45586</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45586</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45586</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45586</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45586</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45586</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45586</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45586</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45586</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45586</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45586</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45586</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45586</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45586</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45586</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45586</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45586</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45586</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45586</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45586</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45586</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45586</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45586</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45586</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45586</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45586</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45586</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45586</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45586</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45586</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45586</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45586</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45586</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45586</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45586</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45586</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45586</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45586</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45586</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45586</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45586</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45586</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45586</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45586</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45586</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45586</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45586</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45586</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45586</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45586</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45586</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45586</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45586</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45586</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45586</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45586</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45586</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45586</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45586</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45586</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45586</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45586</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45586</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45586</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45586</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45586</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45586</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45586</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45586</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45586</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45586</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45586</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45586</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45586</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45586</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45586</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45586</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45586</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45586</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45586</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45586</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45586</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45586</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45586</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45586</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45586</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45586</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45586</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45586</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45586</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45586</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45586</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45586</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45586</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45586</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45586</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45586</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45586</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45586</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45586</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45586</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45586</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45586</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45586</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45586</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45586</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45586</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45586</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45586</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45586</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45586</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45586</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45586</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45586</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45586</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45586</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45586</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45586</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45586</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45586</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45586</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45586</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45586</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45586</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45586</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45586</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45586</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45586</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45586</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45586</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45586</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45586</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45586</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45586</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45586</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45586</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45586</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45586</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45586</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45586</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45586</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45586</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45586</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45586</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45586</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45586</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45586</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45586</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45586</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45586</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45586</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45586</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45586</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45586</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45586</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45586</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45586</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45586</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45586</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45586</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45586</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45586</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45586</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45586</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45586</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45586</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45586</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45586</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45586</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45586</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45586</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45586</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45586</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45586</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45586</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45586</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45586</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45586</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45586</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45586</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45586</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45586</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45586</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45586</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45586</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45586</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45586</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45586</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45586</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45586</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45586</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45586</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45586</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45586</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45586</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45586</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45586</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45586</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45586</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45586</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45586</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45586</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45586</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45586</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45586</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45586</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45586</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45586</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45586</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45586</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45586</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45586</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45586</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45586</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45586</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45586</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45586</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45586</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45586</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45586</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45586</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45586</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45586</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45586</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45586</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45586</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45586</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45586</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45586</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45586</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45586</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45586</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45586</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45586</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45586</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45586</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45586</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45586</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45586</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45586</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45586</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45586</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45586</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45586</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45586</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45586</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45586</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45586</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45586</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45586</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45586</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45586</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45586</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45586</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45586</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45586</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45586</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45586</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45586</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45586</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45586</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45586</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45586</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45586</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45586</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45586</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45586</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45586</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45586</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45586</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45586</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45586</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45586</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45586</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45586</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45586</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45586</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45586</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45586</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45586</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45586</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45586</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45586</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45586</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45586</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45586</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45586</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45586</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45586</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45586</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45586</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45586</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45586</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45586</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45586</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45586</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45586</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45586</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45586</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45586</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45586</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45586</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45586</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45586</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45586</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45586</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45586</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45586</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45586</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45586</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45586</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45586</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45586</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45586</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45586</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45586</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45586</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45586</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45586</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45586</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45586</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45586</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45586</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45586</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45586</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45586</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45586</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45586</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45586</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45586</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45586</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45586</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45586</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45586</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45586</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45586</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45586</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45586</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45586</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45586</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45586</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45586</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45586</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45586</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45586</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45586</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45586</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45586</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45586</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45586</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45586</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45586</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45586</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45586</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45586</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45586</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45586</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45586</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45586</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45586</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45586</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45586</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45586</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45586</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45586</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45586</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45586</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45586</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45586</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45586</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45586</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45586</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45586</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45586</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45586</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45586</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45586</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45586</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45586</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45586</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45586</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45586</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45586</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45586</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45586</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45586</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45586</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45586</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45586</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45586</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45586</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45586</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45586</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45586</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45586</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45586</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45586</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45586</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45586</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45586</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45586</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45586</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45586</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45586</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45586</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45586</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45586</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45586</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45586</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45586</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45586</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45586</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45586</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45586</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45586</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45586</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45586</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45586</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45586</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45586</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45586</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45586</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45586</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45586</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45586</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45586</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45586</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45586</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45586</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45586</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45586</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45586</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45586</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45586</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45586</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45586</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45586</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45586</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45586</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45586</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45586</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45586</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45586</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45586</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45586</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45586</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45586</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45586</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45586</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45586</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45586</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45586</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45586</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45586</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45586</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45586</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45586</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45586</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45586</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45586</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45586</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45586</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45586</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45586</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45586</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45586</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45586</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45586</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45586</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45586</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45586</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45586</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45586</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45586</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45586</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45586</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45586</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45586</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45586</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45586</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45586</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45586</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45586</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45586</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45586</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45586</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45586</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45586</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45586</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45586</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45586</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45586</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45586</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45586</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45586</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45586</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45586</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45586</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45586</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45586</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45586</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45586</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45586</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45586</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45586</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45586</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45586</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45586</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45586</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45586</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45586</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45586</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45586</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45586</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45586</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45586</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45586</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45586</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45586</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45586</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45586</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45586</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45586</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45586</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45586</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45586</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45586</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45586</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45586</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45586</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45586</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45586</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45586</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45586</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45586</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45586</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45586</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45586</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45586</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45586</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45586</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45586</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45586</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45586</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45586</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45586</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45586</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45586</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45586</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45586</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45586</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45586</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45586</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45586</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45586</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45586</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45586</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45586</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45586</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45586</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45586</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45586</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45586</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45586</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45586</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45586</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45586</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45586</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45586</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45586</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45586</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45586</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45586</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45586</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45586</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45586</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45586</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45586</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45586</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45586</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45586</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45586</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45586</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45586</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45586</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45586</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45586</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45586</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45586</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45586</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45586</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45586</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45586</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45586</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45586</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45586</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45586</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45586</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45586</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45586</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45586</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45586</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45586</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45586</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45586</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45586</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45586</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45586</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45586</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45586</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45586</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45586</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45586</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45586</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45586</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45586</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45586</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45586</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45586</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45586</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45586</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45586</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45586</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45586</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45586</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45586</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45586</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45586</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45586</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45586</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45586</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45586</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45586</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45586</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45586</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45586</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45586</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45586</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45586</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45586</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45586</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45586</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45586</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45586</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45586</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45586</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45586</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45586</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45586</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45586</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45586</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45586</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45586</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45586</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45586</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45586</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45586</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45586</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45586</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45586</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45586</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45586</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45586</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45586</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45586</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45586</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45586</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45586</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45586</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45586</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45586</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45586</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45586</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45586</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45586</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45586</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45586</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45586</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45586</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45586</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45586</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45586</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45586</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45586</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45586</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45586</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45586</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45586</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45586</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45586</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45586</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45586</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45586</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45586</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45586</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45586</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45586</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45586</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45586</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45586</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45586</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45586</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45586</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45586</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45586</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45586</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45586</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45586</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45586</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45586</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45586</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45586</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45586</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45586</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45586</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45586</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45586</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45586</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45586</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45586</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45586</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45586</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45586</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45586</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45586</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45586</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45586</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45586</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45586</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45586</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45586</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45586</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45586</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45586</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45586</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45586</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45586</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45586</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45586</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45586</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45586</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45586</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45586</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45586</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45586</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45586</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45586</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45586</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45586</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45586</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45586</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45586</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45586</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45586</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45586</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45586</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45586</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45586</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45586</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45586</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45586</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45586</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45586</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45586</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45586</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45586</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45586</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45586</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45586</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45586</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45586</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45586</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45586</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45586</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45586</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45586</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45586</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45586</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45586</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45586</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45586</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45586</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45586</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45586</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45586</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45586</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45586</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45586</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45586</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45586</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45586</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45586</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45586</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45586</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45586</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45586</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45586</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45586</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45586</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45586</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45586</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45586</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45586</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45586</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45586</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45586</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45586</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45586</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45586</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45586</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45586</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45586</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45586</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45586</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45586</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45586</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45586</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45586</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45586</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45586</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45586</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45586</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45586</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45586</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45586</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45586</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45586</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45586</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45586</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45586</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45586</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45586</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45586</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45586</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45586</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45586</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45586</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45586</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45586</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45586</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45586</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45586</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45586</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45586</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45586</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45586</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45586</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45586</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45586</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45586</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45586</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45586</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45586</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45586</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45586</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45586</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45586</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45586</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45586</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45586</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45586</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45586</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45586</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45586</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45586</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45586</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45586</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45586</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45586</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45586</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45586</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45586</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45586</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45586</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45586</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45586</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45586</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45586</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45586</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45586</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45586</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45586</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45586</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45586</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45586</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45586</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45586</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45586</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45586</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45586</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45586</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45586</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45586</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45586</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45586</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45586</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45586</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45586</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45586</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45586</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45586</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45586</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45586</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45586</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45586</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45586</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45586</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45586</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45586</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45586</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45586</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45586</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45586</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45586</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45586</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45586</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45586</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45586</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45586</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45586</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45586</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45586</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45586</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45586</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45586</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45586</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45586</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45586</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45586</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45586</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45586</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45586</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45586</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45586</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45586</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45586</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45586</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45586</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45586</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45586</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45586</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45586</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45586</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45586</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45586</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45586</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45586</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45586</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45586</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45586</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45586</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45586</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45586</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45586</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45586</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45586</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45586</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45586</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45586</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45586</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45586</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45586</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45586</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45586</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45586</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45586</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45586</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45586</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45586</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45586</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45586</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45586</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45586</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45586</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45586</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45586</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45586</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45586</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45586</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45586</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45586</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45586</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45586</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45586</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45586</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45586</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45586</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45586</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45586</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45586</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45586</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45586</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45586</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45586</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45586</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45586</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45586</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45586</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45586</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45586</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45586</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45586</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45586</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45586</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45586</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45586</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45586</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45586</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45586</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45586</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45586</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45586</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45586</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45586</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45586</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45586</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45586</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45586</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45586</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45586</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45586</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45586</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45586</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45586</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45586</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45586</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45586</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45586</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45586</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45586</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45586</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45586</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45586</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45586</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45586</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45586</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45586</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45586</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45586</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45586</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45586</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45586</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45586</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45586</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45586</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45586</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45586</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45586</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45586</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45586</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45586</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45586</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45586</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45586</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45586</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45586</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45586</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45586</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45586</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45586</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45586</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45586</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45586</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45586</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45586</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45586</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45586</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45586</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45586</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45586</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45586</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45586</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45586</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45586</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45586</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45586</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45586</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45586</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45586</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45586</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45586</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45586</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45586</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45586</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45586</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45586</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45586</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45586</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45586</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45586</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45586</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45586</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45586</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45586</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45586</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45586</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45586</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45586</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45586</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45586</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45586</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45586</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45586</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45586</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45586</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45586</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45586</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45586</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45586</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45586</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45586</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45586</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45586</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45586</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45586</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45586</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45586</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45586</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45586</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45586</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45586</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45586</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45586</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45586</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45586</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45586</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45586</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45586</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45586</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45586</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45586</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45586</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45586</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45586</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45586</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45586</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45586</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45586</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45586</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45586</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45586</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45586</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45586</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45586</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45586</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45586</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45586</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45586</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45586</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45586</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45586</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45586</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45586</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45586</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45586</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45586</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45586</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45586</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45586</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45586</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45586</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45586</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45586</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45586</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45586</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45586</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45586</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45586</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45586</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45586</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45586</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45586</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45586</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45586</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45586</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45586</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45586</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45586</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45586</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45586</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45586</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45586</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45586</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45586</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45586</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45586</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45586</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45586</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45586</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45586</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45586</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45586</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45586</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45586</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45586</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45586</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45586</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45586</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45586</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45586</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45586</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45586</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45586</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45586</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45586</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45586</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45586</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45586</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45586</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45586</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45586</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45586</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45586</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45586</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45586</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45586</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45586</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45586</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45586</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45586</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45586</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45586</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45586</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45586</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45586</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45586</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45586</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45586</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45586</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45586</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45586</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45586</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45586</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45586</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45586</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45586</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45586</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45586</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45586</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45586</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45586</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45586</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45586</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45586</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45586</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45586</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45586</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45586</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45586</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45586</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45586</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45586</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45586</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45586</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45586</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45586</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45586</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45586</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45586</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45586</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45586</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45586</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45586</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45586</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45586</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45586</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45586</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45586</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45586</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45586</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45586</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45586</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45586</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45586</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45586</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45586</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45586</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45586</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45586</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45586</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45586</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45586</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45586</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45586</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45586</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45586</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45586</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45586</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45586</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45586</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45586</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45586</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45586</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45586</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45586</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45586</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45586</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45586</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45586</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45586</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45586</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45586</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45586</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45586</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45586</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45586</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45586</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45586</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45586</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45586</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45586</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45586</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45586</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45586</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45586</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45586</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45586</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45586</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45586</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45586</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45586</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45586</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45586</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45586</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45586</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45586</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45586</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45586</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45586</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45586</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45586</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45586</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45586</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45586</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45586</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45586</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45586</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45586</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45586</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45586</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45586</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45586</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45586</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45586</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45586</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45586</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45586</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45586</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45586</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45586</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45586</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45586</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45586</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45586</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45586</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45586</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45586</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45586</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45586</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45586</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45586</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45586</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45586</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45586</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45586</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45586</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45586</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45586</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45586</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45586</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45586</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45586</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45586</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45586</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45586</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45586</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45586</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45586</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45586</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45586</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45586</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45586</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45586</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45586</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45586</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45586</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45586</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45586</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45586</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45586</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45586</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45586</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45586</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45586</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45586</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45586</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45586</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45586</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45586</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45586</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45586</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45586</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45586</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45586</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45586</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45586</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45586</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45586</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45586</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45586</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45586</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45586</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45586</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45586</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45586</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45586</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45586</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45586</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45586</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45586</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45586</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45586</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45586</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45586</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45586</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45586</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45586</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45586</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45586</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45586</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45586</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45586</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45586</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45586</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45586</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45586</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45586</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45586</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45586</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45586</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45586</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45586</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45586</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45586</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45586</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45586</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45586</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45586</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45586</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45586</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45586</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45586</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45586</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45586</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45586</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45586</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45586</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45586</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45586</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45586</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45586</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45586</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45586</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45586</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45586</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45586</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45586</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45586</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45586</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45586</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45586</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45586</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45586</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45586</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45586</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45586</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45586</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45586</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45586</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45586</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45586</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45586</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45586</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45586</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45586</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45586</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45586</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45586</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45586</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45586</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45586</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45586</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45586</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45586</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45586</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45586</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45586</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45586</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45586</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45586</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45586</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45586</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45586</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45586</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45586</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45586</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45586</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45586</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45586</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45586</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45586</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45586</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45586</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45586</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45586</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45586</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45586</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45586</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45586</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45586</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45586</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45586</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45586</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45586</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45586</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45586</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45586</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45586</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45586</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45586</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45586</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45586</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45586</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45586</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45586</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45586</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45586</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45586</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45586</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45586</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45586</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45586</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45586</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45586</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45586</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45586</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45586</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45586</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45586</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45586</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45586</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45586</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45586</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45586</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45586</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45586</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45586</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45586</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45586</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45586</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45586</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45586</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45586</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45586</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45586</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45586</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45586</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45586</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45586</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45586</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45586</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45586</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45586</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45586</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45586</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45586</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45586</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45586</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45586</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45586</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45586</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45586</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45586</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45586</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45586</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45586</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45586</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45586</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45586</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45586</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45586</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45586</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45586</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45586</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45586</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45586</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45586</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45586</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45586</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45586</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45586</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45586</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45586</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45586</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45586</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45586</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45586</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45586</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45586</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45586</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45586</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45586</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45586</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45586</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45586</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45586</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45586</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45586</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45586</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45586</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45586</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45586</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45586</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45586</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45586</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45586</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45586</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45586</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45586</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45586</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45586</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45586</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45586</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45586</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45586</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45586</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45586</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45586</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45586</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45586</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45586</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45586</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45586</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45586</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45586</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45586</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45586</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45586</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45586</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45586</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45586</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45586</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45586</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45586</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45586</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45586</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45586</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45586</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45586</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45586</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45586</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45586</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45586</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45586</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45586</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45586</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45586</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45586</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45586</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45586</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45586</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45586</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45586</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45586</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45586</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45586</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45586</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45586</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45586</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45586</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45586</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45586</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45586</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45586</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45586</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45586</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45586</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45586</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45586</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45586</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45586</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45586</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45586</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45586</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45586</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45586</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45586</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45586</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45586</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45586</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45586</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45586</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45586</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45586</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45586</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45586</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45586</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45586</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45586</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45586</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45586</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45586</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45586</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45586</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45586</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45586</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45586</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45586</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45586</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45586</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45586</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45586</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45586</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45586</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45586</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45586</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45586</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45586</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45586</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45586</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45586</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45586</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45586</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45586</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45586</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45586</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45586</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45586</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45586</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45586</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45586</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45586</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45586</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45586</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45586</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45586</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45586</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45586</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45586</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45586</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45586</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45586</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45586</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45586</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45586</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45586</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45586</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45586</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45586</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45586</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45586</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45586</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45586</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45586</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45586</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45586</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45586</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45586</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45586</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45586</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45586</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45586</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45586</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45586</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45586</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45586</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45586</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45586</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45586</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45586</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45586</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45586</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45586</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45586</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45586</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45586</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45586</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45586</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45586</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45586</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45586</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45586</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45586</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45586</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45586</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45586</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45586</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45586</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45586</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45586</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45586</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45586</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45586</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45586</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45586</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45586</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45586</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45586</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45586</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45586</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45586</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45586</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45586</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45586</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45586</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45586</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45586</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45586</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45586</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45586</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45586</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45586</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45586</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45586</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45586</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45586</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45586</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45586</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45586</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45586</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45586</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45586</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45586</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45586</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45586</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45586</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45586</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45586</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45586</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45586</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45586</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45586</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45586</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45586</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45586</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45586</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45586</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45586</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45586</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45586</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45586</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45586</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45586</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45586</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45586</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45586</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45586</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45586</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45586</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45586</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45586</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45586</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45586</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45586</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45586</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45586</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45586</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45586</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45586</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45586</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45586</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45586</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45586</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45586</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45586</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45586</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45586</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45586</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45586</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45586</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45586</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45586</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45586</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45586</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45586</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45586</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45586</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45586</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45586</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45586</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45586</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45586</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45586</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45586</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45586</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45586</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45586</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45586</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45586</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45586</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45586</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45586</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45586</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45586</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45586</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45586</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45586</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45586</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45586</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45586</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45586</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45586</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45586</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45586</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45586</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45586</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45586</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45586</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45586</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45586</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45586</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45586</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45586</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45586</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45586</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45586</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45586</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45586</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45586</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45586</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45586</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45586</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45586</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45586</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45586</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45586</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45586</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45586</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45586</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45586</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45586</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45586</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45586</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45586</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45586</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45586</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45586</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45586</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45586</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45586</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45586</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45586</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45586</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45586</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45586</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45586</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45586</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45586</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45586</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45586</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45586</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45586</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45586</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45586</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45586</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45586</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45586</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45586</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45586</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45586</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45586</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45586</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45586</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45586</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45586</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45586</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45586</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45586</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45586</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45586</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45586</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45586</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45586</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45586</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45586</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45586</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45586</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45586</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45586</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45586</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45586</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45586</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45586</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45586</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45586</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45586</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45586</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45586</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45586</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45586</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45586</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45586</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45586</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45586</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45586</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45586</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45586</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45586</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45586</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45586</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45586</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45586</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45586</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45586</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45586</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45586</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45586</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45586</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45586</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45586</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45586</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45586</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45586</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45586</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45586</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45586</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45586</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45586</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45586</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45586</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45586</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45586</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45586</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45586</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45586</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45586</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45586</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45586</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45586</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45586</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45586</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45586</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45586</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45586</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45586</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45586</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45586</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45586</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45586</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45586</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45586</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45586</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45586</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45586</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45586</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45586</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45586</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45586</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45586</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45586</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45586</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45586</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45586</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45586</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45586</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45586</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45586</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45586</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45586</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45586</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45586</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45586</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45586</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45586</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45586</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45586</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45586</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45586</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45586</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45586</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45586</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45586</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45586</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45586</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45586</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45586</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45586</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45586</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45586</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45586</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45586</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45586</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45586</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45586</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45586</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45586</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45586</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45586</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45586</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45586</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45586</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45586</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45586</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45586</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45586</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45586</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45586</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45586</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45586</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45586</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45586</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45586</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45586</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45586</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45586</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45586</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45586</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45586</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45586</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45586</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45586</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45586</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45586</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45586</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45586</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45586</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45586</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45586</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45586</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45586</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45586</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45586</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45586</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45586</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45586</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45586</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45586</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45586</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45586</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45586</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45586</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45586</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45586</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45586</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45586</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45586</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45586</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45586</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45586</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45586</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45586</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45586</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45586</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45586</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45586</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45586</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45586</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45586</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45586</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45586</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45586</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45586</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45586</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45586</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45586</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45586</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45586</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45586</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45586</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45586</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45586</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45586</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45586</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45586</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45586</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45586</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45586</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45586</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45586</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45586</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45586</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45586</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45586</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45586</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45586</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45586</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45586</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45586</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45586</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45586</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45586</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45586</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45586</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45586</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45586</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45586</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45586</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45586</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45586</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45586</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45586</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45586</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45586</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45586</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45586</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45586</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45586</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45586</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45586</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45586</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45586</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45586</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45586</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45586</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45586</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45586</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45586</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45586</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45586</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45586</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45586</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45586</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45586</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45586</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45586</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45586</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45586</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45586</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45586</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45586</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45586</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45586</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45586</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45586</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45586</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45586</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45586</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45586</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45586</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45586</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45586</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45586</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45586</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45586</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45586</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45586</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45586</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45586</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45586</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45586</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45586</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45586</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45586</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45586</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45586</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45586</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45586</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45586</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45586</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45586</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45586</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45586</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45586</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45586</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45586</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45586</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45586</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45586</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45586</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45586</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45586</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45586</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45586</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45586</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45586</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45586</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45586</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45586</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45586</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45586</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45586</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45586</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45586</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45586</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45586</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45586</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45586</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45586</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45586</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45586</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45586</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45586</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45586</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45586</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45586</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45586</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45586</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45586</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45586</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45586</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45586</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45586</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45586</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45586</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45586</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45586</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45586</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45586</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45586</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45586</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45586</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45586</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45586</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45586</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45586</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45586</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45586</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45586</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45586</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45586</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45586</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45586</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45586</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45586</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45586</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45586</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45586</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45586</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45586</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45586</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45586</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45586</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45586</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45586</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45586</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45586</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45586</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45586</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45586</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45586</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45586</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45586</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45586</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45586</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45586</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45586</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45586</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45586</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45586</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45586</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45586</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45586</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45586</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45586</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45586</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45586</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45586</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45586</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45586</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45586</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45586</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45586</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45586</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45586</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45586</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45586</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45586</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45586</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45586</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45586</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45586</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45586</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45586</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45586</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45586</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45586</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45586</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45586</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45586</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45586</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45586</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45586</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45586</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45586</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45586</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45586</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45586</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45586</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45586</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45586</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45586</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45586</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45586</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45586</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45586</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45586</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45586</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45586</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45586</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45586</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45586</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45586</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45586</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45586</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45586</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45586</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45586</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45586</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45586</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45586</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45586</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45586</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45586</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45586</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45586</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45586</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45586</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45586</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45586</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45586</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45586</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45586</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45586</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45586</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45586</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45586</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45586</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45586</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45586</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45586</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45586</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45586</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45586</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45586</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45586</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45586</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45586</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45586</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45586</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45586</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45586</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45586</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45586</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45586</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45586</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45586</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45586</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45586</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45586</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45586</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45586</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45586</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45586</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45586</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45586</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45586</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45586</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45586</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45586</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45586</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45586</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45586</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45586</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45586</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45586</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45586</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45586</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45586</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45586</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45586</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45586</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45586</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45586</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45586</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45586</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45586</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45586</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45586</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45586</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45586</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45586</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45586</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45586</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45586</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45586</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45586</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45586</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45586</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45586</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45586</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45586</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45586</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45586</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45586</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45586</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45586</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45586</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45586</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45586</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45586</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45586</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45586</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45586</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45586</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45586</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45586</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45586</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45586</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45586</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45586</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45586</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45586</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45586</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45586</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45586</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45586</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45586</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45586</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45586</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45586</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45586</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45586</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45586</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45586</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45586</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45586</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45586</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45586</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45586</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45586</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45586</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45586</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45586</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45586</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45586</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45586</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45586</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45586</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45586</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45586</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45586</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45586</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45586</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45586</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45586</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45586</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45586</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45586</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45586</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45586</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45586</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45586</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45586</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45586</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45586</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45586</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45586</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45586</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45586</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45586</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45586</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45586</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45586</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45586</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45586</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45586</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45586</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45586</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45586</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45586</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45586</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45586</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45586</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45586</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45586</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45586</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45586</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45586</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45586</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45586</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45586</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45586</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45586</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45586</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45586</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45586</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45586</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45586</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45586</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45586</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45586</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45586</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45586</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45586</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45586</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45586</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45586</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45586</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45586</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45586</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45586</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45586</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45586</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45586</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45586</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45586</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45586</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45586</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45586</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45586</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45586</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45586</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45586</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45586</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45586</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45586</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45586</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45586</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45586</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45586</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45586</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45586</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45586</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45586</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45586</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45586</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45586</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45586</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45586</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45586</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45586</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45586</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45586</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45586</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45586</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45586</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45586</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45586</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45586</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45586</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45586</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45586</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45586</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45586</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45586</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45586</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45586</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45586</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45586</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45586</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45586</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45586</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45586</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45586</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45586</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45586</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45586</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45586</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45586</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45586</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45586</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45586</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45586</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45586</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45586</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45586</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45586</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45586</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45586</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45586</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45586</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45586</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45586</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45586</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45586</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45586</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45586</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45586</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45586</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45586</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45586</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45586</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45586</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45586</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45586</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45586</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45586</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45586</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45586</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45586</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45586</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45586</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45586</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45586</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45586</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45586</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45586</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45586</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45586</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45586</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45586</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45586</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45586</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45586</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45586</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45586</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45586</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45586</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45586</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45586</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45586</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45586</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45586</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45586</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45586</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45586</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45586</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45586</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45586</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45586</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45586</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45586</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45586</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45586</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45586</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45586</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45586</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45586</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45586</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45586</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45586</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45586</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45586</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45586</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45586</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45586</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45586</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45586</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45586</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45586</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45586</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45586</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45586</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45586</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45586</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45586</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45586</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45586</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45586</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45586</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45586</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45586</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45586</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45586</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45586</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45586</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45586</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45586</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45586</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45586</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45586</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45586</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45586</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45586</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45586</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45586</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45586</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45586</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45586</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45586</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45586</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45586</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45586</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45586</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45586</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45586</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45586</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45586</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45586</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45586</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45586</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45586</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45586</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45586</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45586</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45586</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45586</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45586</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45586</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45586</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45586</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45586</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45586</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45586</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45586</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45586</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45586</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45586</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45586</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45586</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45586</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45586</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45586</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45586</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45586</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45586</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45586</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45586</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45586</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45586</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45586</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45586</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45586</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45586</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45586</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45586</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45586</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45586</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45586</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45586</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45586</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45586</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45586</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45586</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45586</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45586</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45586</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45586</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45586</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45586</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45586</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45586</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45586</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45586</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45586</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45586</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45586</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45586</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45586</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45586</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45586</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45586</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45586</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45586</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45586</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45586</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45586</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45586</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45586</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45586</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45586</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45586</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45586</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45586</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45586</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45586</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45586</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45586</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45586</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45586</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45586</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45586</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45586</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45586</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45586</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45586</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45586</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45586</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45586</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45586</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45586</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45586</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45586</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45586</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45586</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45586</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45586</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45586</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45586</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45586</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45586</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45586</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45586</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45586</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45586</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45586</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45586</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45586</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45586</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45586</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45586</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45586</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45586</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45586</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45586</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45586</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45586</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45586</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45586</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45586</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45586</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45586</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45586</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45586</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45586</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45586</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45586</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45586</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45586</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45586</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45586</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45586</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45586</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45586</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45586</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45586</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45586</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45586</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45586</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45586</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45586</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45586</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45586</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45586</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45586</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45586</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45586</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45586</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45586</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45586</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45586</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45586</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45586</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45586</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45586</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45586</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45586</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45586</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45586</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45586</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45586</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45586</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45586</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45586</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45586</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45586</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45586</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45586</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45586</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45586</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45586</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45586</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45586</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45586</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45586</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45586</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45586</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45586</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45586</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45586</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45586</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45586</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45586</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45586</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45586</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45586</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45586</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45586</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45586</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45586</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45586</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45586</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45586</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45586</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45586</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45586</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45586</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45586</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45586</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45586</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45586</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45586</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45586</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45586</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45586</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45586</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45586</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45586</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45586</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45586</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45586</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45586</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45586</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45586</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45586</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45586</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45586</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45586</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45586</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45586</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45586</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45586</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45586</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45586</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45586</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45586</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45586</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45586</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45586</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45586</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45586</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45586</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45586</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45586</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45586</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45586</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45586</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45586</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45586</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45586</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45586</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45586</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45586</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45586</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45586</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45586</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45586</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45586</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45586</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45586</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45586</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45586</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45586</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45586</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45586</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45586</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45586</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45586</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45586</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45586</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45586</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45586</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45586</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45586</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45586</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45586</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45586</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45586</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45586</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45586</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45586</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45586</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45586</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45586</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45586</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45586</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45586</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45586</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45586</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45586</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45586</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45586</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45586</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45586</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45586</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45586</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45586</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45586</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45586</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45586</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45586</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45586</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45586</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45586</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45586</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45586</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45586</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45586</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45586</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45586</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45586</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45586</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45586</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45586</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45586</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45586</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45586</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45586</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45586</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45586</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45586</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45586</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45586</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45586</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45586</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45586</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45586</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45586</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45586</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45586</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45586</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45586</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45586</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45586</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45586</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45586</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45586</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45586</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45586</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45586</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45586</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45586</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45586</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45586</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45586</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45586</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45586</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45586</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45586</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45586</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45586</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45586</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45586</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45586</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45586</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45586</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45586</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45586</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45586</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45586</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45586</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45586</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45586</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45586</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45586</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45586</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45586</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45586</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45586</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45586</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45586</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45586</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45586</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45586</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45586</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45586</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45586</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45586</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45586</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45586</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45586</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45586</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45586</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45586</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45586</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45586</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45586</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45586</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45586</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45586</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45586</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45586</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45586</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45586</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45586</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45586</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45586</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45586</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45586</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45586</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45586</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45586</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45586</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45586</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45586</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45586</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45586</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45586</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45586</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45586</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45586</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45586</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45586</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45586</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45586</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45586</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45586</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45586</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45586</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45586</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45586</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45586</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45586</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45586</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45586</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45586</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45586</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45586</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45586</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45586</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45586</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45586</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45586</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45586</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45586</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45586</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45586</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45586</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45586</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45586</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45586</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45586</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45586</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45586</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45586</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45586</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45586</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45586</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45586</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45586</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45586</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45586</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45586</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45586</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45586</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45586</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45586</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45586</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45586</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45586</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45586</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45586</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45586</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45586</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45586</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45586</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45586</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45586</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45586</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45586</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45586</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45586</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45586</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45586</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45586</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45586</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45586</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45586</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45586</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45586</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45586</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45586</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45586</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45586</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45586</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45586</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45586</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45586</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45586</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45586</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45586</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45586</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45586</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45586</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45586</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45586</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45586</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45586</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45586</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45586</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45586</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45586</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45586</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45586</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45586</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45586</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45586</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45586</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45586</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45586</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45586</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45586</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45586</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45586</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45586</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45586</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45586</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45586</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45586</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45586</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45586</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45586</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45586</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45586</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45586</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45586</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45586</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45586</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45586</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45586</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45586</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45586</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45586</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45586</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45586</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45586</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45586</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45586</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45586</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45586</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45586</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45586</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45586</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45586</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45586</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45586</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45586</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45586</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45586</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45586</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45586</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45586</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45586</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45586</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45586</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45586</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45586</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45586</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45586</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45586</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45586</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45586</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45586</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45586</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45586</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45586</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45586</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45586</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45586</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45586</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45586</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45586</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45586</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45586</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45586</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45586</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45586</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45586</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45586</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45586</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45586</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45586</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45586</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45586</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45586</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45586</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45586</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45586</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45586</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45586</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45586</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45586</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45586</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45586</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45586</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45586</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45586</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45586</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45586</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45586</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45586</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45586</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45586</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45586</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45586</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45586</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45586</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45586</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45586</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45586</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45586</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45586</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45586</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45586</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45586</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45586</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45586</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45586</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45586</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45586</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45586</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45586</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45586</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45586</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45586</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45586</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45586</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45586</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45586</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45586</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45586</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45586</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45586</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45586</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45586</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45586</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45586</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45586</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45586</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45586</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45586</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45586</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45586</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45586</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45586</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45586</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45586</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45586</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45586</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45586</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45586</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45586</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45586</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45586</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45586</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45586</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45586</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45586</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45586</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45586</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45586</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45586</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45586</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45586</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45586</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45586</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45586</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45586</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45586</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45586</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45586</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45586</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45586</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45586</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45586</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45586</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45586</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45586</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45586</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45586</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45586</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45586</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45586</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45586</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45586</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45586</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45586</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45586</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45586</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45586</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45586</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45586</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45586</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45586</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45586</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45586</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45586</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45586</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45586</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45586</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45586</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45586</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45586</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45586</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45586</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45586</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45586</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45586</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45586</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45586</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45586</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45586</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45586</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45586</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45586</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45586</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45586</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45586</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45586</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45586</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45586</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45586</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45586</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45586</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45586</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45586</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45586</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45586</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45586</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45586</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45586</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45586</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45586</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45586</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45586</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45586</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45586</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45586</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45586</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45586</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45586</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45586</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45586</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45586</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45586</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45586</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45586</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45586</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45586</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45586</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45586</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45586</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45586</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45586</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45586</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45586</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45586</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45586</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45586</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45586</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45586</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45586</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45586</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45586</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45586</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45586</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45586</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45586</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45586</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45586</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45586</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45586</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45586</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45586</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45586</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45586</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45586</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45586</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45586</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45586</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45586</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45586</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45586</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45586</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45586</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45586</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45586</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45586</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45586</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45586</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45586</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45586</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45586</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45586</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45586</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45586</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45586</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45586</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45586</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45586</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45586</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45586</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45586</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45586</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45586</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45586</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45586</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45586</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45586</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45586</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45586</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45586</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45586</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45586</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45586</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45586</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45586</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45586</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45586</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45586</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45586</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45586</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45586</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45586</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45586</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45586</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45586</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45586</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45586</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45586</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45586</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45586</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45586</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45586</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45586</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45586</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45586</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45586</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45586</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45586</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45586</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45586</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45586</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45586</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45586</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45586</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45586</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45586</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45586</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45586</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45586</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45586</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45586</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45586</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45586</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45586</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45586</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45586</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45586</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45586</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45586</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45586</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45586</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45586</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45586</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45586</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45586</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45586</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45586</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45586</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45586</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45586</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45586</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45586</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45586</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45586</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45586</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45586</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45586</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45586</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45586</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45586</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45586</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45586</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45586</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45586</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45586</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45586</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45586</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45586</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45586</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45586</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45586</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45586</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45586</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45586</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45586</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45586</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45586</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45586</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45586</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45586</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45586</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45586</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45586</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45586</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45586</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45586</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45586</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45586</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45586</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45586</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45586</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45586</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45586</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45586</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45586</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45586</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45586</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45586</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45586</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45586</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45586</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45586</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45586</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45586</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45586</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45586</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45586</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45586</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45586</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45586</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45586</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45586</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45586</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45586</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45586</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45586</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45586</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45586</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45586</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45586</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45586</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45586</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45586</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45586</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45586</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45586</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45586</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45586</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45586</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45586</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45586</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45586</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45586</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45586</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45586</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45586</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45586</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45586</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45586</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45586</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45586</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45586</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45586</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45586</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45586</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45586</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45586</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45586</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45586</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45586</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45586</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45586</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45586</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45586</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45586</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45586</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45586</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45586</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45586</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45586</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45586</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45586</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45586</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45586</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45586</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45586</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45586</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45586</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45586</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45586</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45586</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45586</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45586</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45586</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45586</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45586</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45586</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45586</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45586</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45586</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45586</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45586</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45586</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45586</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45586</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45586</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45586</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45586</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45586</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45586</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45586</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45586</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45586</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45586</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45586</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45586</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45586</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45586</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45586</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45586</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45586</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45586</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45586</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45586</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45586</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45586</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45586</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45586</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45586</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45586</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45586</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45586</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45586</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45586</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45586</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45586</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45586</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45586</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45586</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45586</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45586</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45586</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45586</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45586</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45586</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45586</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45586</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45586</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45586</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45586</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45586</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45586</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45586</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45586</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45586</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45586</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45586</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45586</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45586</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45586</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45586</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45586</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45586</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45586</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45586</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45586</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45586</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45586</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45586</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45586</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45586</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45586</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45586</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45586</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45586</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45586</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45586</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45586</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45586</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45586</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45586</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45586</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45586</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45586</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45586</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45586</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45586</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45586</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45586</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45586</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45586</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45586</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45586</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45586</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45586</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45586</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45586</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45586</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45586</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45586</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45586</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45586</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45586</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45586</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45586</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45586</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45586</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45586</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45586</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45586</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45586</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45586</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45586</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45586</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45586</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45586</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45586</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45586</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45586</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45586</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45586</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45586</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45586</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45586</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45586</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45586</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45586</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45586</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45586</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45586</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45586</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45586</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45586</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45586</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45586</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45586</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45586</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45586</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45586</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45586</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45586</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45586</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45586</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45586</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45586</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45586</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45586</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45586</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45586</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45586</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45586</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45586</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45586</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45586</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45586</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45586</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45586</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45586</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45586</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45586</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45586</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45586</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45586</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45586</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45586</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45586</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45586</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45586</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45586</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45586</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45586</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45586</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45586</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45586</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45586</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45586</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45586</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45586</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45586</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45586</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45586</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45586</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45586</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45586</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45586</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45586</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45586</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45586</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45586</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45586</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45586</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45586</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45586</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45586</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45586</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45586</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45586</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45586</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45586</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45586</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45586</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45586</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45586</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45586</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45586</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45586</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45586</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45586</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45586</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45586</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45586</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45586</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45586</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45586</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45586</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45586</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45586</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45586</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45586</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45586</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45586</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45586</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45586</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45586</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45586</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45586</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45586</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45586</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45586</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45586</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45586</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45586</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45586</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45586</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45586</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45586</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45586</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45586</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45586</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45586</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45586</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45586</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45586</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45586</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45586</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45586</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45586</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45586</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45586</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45586</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45586</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45586</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45586</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45586</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45586</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45586</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45586</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45586</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45586</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45586</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45586</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45586</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45586</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45586</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45586</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45586</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45586</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45586</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45586</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45586</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45586</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45586</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45586</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45586</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45586</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45586</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45586</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45586</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45586</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45586</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45586</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45586</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45586</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45586</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45586</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45586</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45586</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45586</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45586</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45586</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45586</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45586</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45586</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45586</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45586</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45586</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45586</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45586</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45586</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45586</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45586</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45586</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45586</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45586</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45586</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45586</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45586</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45586</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45586</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45586</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45586</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45586</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45586</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45586</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45586</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45586</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45586</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45586</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45586</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45586</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45586</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45586</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45586</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45586</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45586</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45586</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45586</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45586</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45586</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45586</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45586</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45586</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45586</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45586</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45586</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45586</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45586</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45586</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45586</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45586</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45586</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45586</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45586</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45586</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45586</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45586</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45586</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45586</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45586</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45586</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45586</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45586</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45586</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45586</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45586</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45586</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45586</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45586</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45586</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45586</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45586</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45586</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45586</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45586</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45586</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45586</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45586</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45586</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45586</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45586</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45586</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45586</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45586</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45586</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45586</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45586</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45586</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45586</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45586</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45586</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45586</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45586</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45586</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45586</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45586</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45586</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45586</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45586</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45586</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45586</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45586</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45586</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45586</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45586</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45586</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45586</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45586</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45586</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45586</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45586</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45586</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45586</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45586</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45586</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45586</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45586</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45586</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45586</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45586</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45586</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45586</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45586</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45586</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45586</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45586</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45586</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45586</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45586</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45586</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45586</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45586</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45586</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45586</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45586</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45586</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45586</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45586</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45586</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45586</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45586</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45586</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45586</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45586</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45586</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45586</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45586</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45586</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45586</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45586</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45586</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45586</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45586</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45586</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45586</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45586</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45586</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45586</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45586</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45586</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45586</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45586</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45586</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45586</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45586</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45586</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45586</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45586</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45586</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45586</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45586</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45586</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45586</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45586</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45586</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45586</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45586</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45586</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45586</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45586</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45586</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45586</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45586</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45586</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45586</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45586</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45586</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45586</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45586</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45586</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45586</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45586</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45586</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45586</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45586</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45586</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45586</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45586</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45586</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45586</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45586</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45586</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45586</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45586</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45586</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45586</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45586</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45586</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45586</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45586</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45586</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45586</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45586</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45586</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45586</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45586</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45586</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45586</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45586</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45586</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45586</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45586</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45586</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45586</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45586</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45586</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45586</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45586</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45586</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45586</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45586</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45586</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45586</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45586</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45586</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45586</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45586</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45586</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45586</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45586</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45586</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45586</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45586</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45586</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45586</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45586</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45586</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45586</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45586</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45586</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45586</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45586</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45586</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45586</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45586</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45586</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45586</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45586</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45586</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45586</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45586</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45586</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45586</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45586</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45586</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45586</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45586</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45586</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45586</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45586</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45586</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45586</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45586</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45586</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45586</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45586</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45586</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45586</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45586</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45586</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45586</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45586</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45586</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45586</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45586</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45586</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45586</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45586</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45586</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45586</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45586</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45586</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45586</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45586</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45586</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45586</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45586</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45586</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45586</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45586</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45586</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45586</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45586</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45586</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45586</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45586</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45586</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45586</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45586</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45586</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45586</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45586</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45586</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45586</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45586</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45586</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45586</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45586</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45586</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45586</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45586</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45586</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45586</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45586</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45586</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45586</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45586</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45586</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45586</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45586</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45586</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45586</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45586</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45586</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45586</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45586</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45586</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45586</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45586</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45586</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45586</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45586</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45586</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45586</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45586</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45586</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45586</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45586</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45586</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45586</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45586</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45586</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45586</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45586</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45586</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45586</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45586</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45586</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45586</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45586</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45586</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45586</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45586</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45586</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45586</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45586</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45586</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45586</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45586</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45586</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45586</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45586</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45586</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45586</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45586</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45586</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45586</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45586</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45586</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45586</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45586</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45586</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45586</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45586</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45586</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45586</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45586</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45586</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45586</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45586</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45586</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45586</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45586</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45586</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45586</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45586</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45586</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45586</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45586</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45586</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45586</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45586</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45586</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45586</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45586</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45586</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45586</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45586</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45586</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45586</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45586</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45586</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45586</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45586</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45586</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45586</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45586</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45586</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45586</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45586</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45586</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45586</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45586</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45586</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45586</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45586</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45586</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45586</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45586</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45586</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45586</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45586</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45586</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45586</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45586</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45586</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45586</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45586</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45586</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45586</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45586</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45586</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45586</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45586</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45586</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45586</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45586</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45586</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45586</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45586</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45586</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45586</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45586</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45586</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45586</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45586</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45586</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45586</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45586</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45586</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45586</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45586</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45586</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45586</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45586</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45586</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45586</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45586</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45586</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45586</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45586</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45586</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45586</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45586</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45586</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45586</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45586</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45586</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45586</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45586</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45586</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45586</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45586</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45586</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45586</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45586</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45586</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45586</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45586</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45586</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45586</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45586</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45586</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45586</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45586</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45586</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45586</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45586</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45586</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45586</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45586</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45586</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45586</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45586</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45586</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45586</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45586</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45586</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45586</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45586</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45586</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45586</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45586</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45586</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45586</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45586</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45586</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45586</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45586</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45586</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45586</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45586</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45586</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45586</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45586</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45586</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45586</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45586</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45586</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45586</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45586</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45586</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45586</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45586</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45586</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45586</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45586</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45586</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45586</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45586</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45586</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45586</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45586</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45586</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45586</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45586</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45586</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45586</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45586</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45586</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45586</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45586</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45586</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45586</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45586</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45586</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45586</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45586</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45586</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45586</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45586</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45586</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45586</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45586</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45586</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45586</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45586</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45586</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45586</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45586</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45586</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45586</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45586</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45586</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45586</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45586</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45586</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45586</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45586</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45586</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45586</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45586</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45586</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45586</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45586</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45586</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45586</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45586</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45586</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45586</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45586</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45586</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45586</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45586</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45586</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45586</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45586</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45586</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45586</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45586</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45586</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45586</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45586</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45586</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45586</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45586</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45586</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45586</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45586</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45586</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45586</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45586</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45586</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45586</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45586</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45586</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45586</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45586</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45586</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45586</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45586</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45586</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45586</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45586</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45586</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45586</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45586</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45586</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45586</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45586</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45586</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45586</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45586</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45586</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45586</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45586</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45586</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45586</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45586</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45586</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45586</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45586</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45586</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45586</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45586</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45586</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45586</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45586</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45586</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45586</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45586</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45586</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45586</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45586</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45586</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45586</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45586</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45586</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45586</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45586</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45586</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45586</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45586</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45586</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45586</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45586</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45586</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45586</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45586</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45586</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45586</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45586</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45586</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45586</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45586</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45586</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45586</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45586</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45586</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45586</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45586</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45586</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45586</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45586</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45586</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45586</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45586</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45586</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45586</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45586</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45586</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45586</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45586</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45586</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45586</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45586</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45586</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45586</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45586</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45586</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45586</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45586</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45586</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45586</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45586</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45586</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45586</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45586</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45586</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45586</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45586</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45586</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45586</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45586</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45586</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45586</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45586</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45586</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45586</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45586</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45586</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45586</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45586</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45586</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45586</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45586</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45586</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45586</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45586</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45586</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45586</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45586</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45586</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45586</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45586</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45586</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45586</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45586</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45586</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45586</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45586</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45586</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45586</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45586</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45586</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45586</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45586</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45586</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45586</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45586</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45586</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45586</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45586</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45586</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45586</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45586</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45586</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45586</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45586</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45586</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45586</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45586</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45586</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45586</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45586</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45586</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45586</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45586</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45586</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45586</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45586</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45586</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45586</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45586</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45586</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45586</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45586</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45586</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45586</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45586</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45586</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45586</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45586</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45586</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45586</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45586</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45586</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45586</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45586</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45586</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45586</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45586</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45586</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45586</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45586</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45586</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45586</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45586</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45586</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45586</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45586</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45586</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45586</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45586</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45586</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45586</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45586</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45586</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45586</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45586</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45586</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45586</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45586</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45586</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45586</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45586</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45586</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45586</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45586</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45586</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45586</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45586</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45586</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45586</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45586</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45586</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45586</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45586</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45586</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45586</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45586</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45586</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45586</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45586</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45586</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45586</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45586</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45586</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45586</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45586</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45586</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45586</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45586</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45586</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45586</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45586</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45586</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45586</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45586</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45586</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45586</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45586</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45586</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45586</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45586</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45586</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45586</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45586</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45586</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45586</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45586</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45586</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45586</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45586</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45586</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45586</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45586</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45586</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45586</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45586</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45586</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45586</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45586</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45586</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45586</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45586</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45586</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45586</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45586</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45586</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45586</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45586</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45586</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45586</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45586</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45586</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45586</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45586</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45586</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45586</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45586</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45586</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45586</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45586</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45586</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45586</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45586</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45586</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45586</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45586</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45586</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45586</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45586</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45586</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45586</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45586</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45586</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45586</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45586</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45586</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45586</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45586</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45586</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45586</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45586</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45586</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45586</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45586</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45586</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45586</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45586</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45586</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45586</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45586</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45586</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45586</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45586</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45586</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45586</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45586</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45586</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45586</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45586</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45586</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45586</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45586</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45586</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45586</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45586</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45586</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45586</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45586</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45586</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45586</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45586</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45586</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45586</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45586</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45586</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45586</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45586</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45586</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45586</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45586</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45586</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45586</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45586</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45586</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45586</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45586</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45586</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45586</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45586</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45586</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45586</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45586</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45586</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45586</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45586</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45586</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45586</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45586</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45586</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45586</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45586</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45586</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45586</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45586</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45586</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45586</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45586</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45586</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45586</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45586</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45586</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45586</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45586</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45586</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45586</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45586</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45586</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45586</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45586</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45586</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45586</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45586</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45586</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45586</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45586</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45586</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45586</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45586</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45586</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45586</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45586</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45586</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45586</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45586</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45586</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45586</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45586</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45586</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45586</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45586</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45586</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45586</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45586</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45586</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45586</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45586</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45586</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45586</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45586</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45586</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45586</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45586</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45586</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45586</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45586</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45586</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45586</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45586</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45586</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45586</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45586</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45586</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45586</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45586</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45586</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45586</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45586</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45586</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45586</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45586</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45586</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45586</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45586</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45586</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45586</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45586</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45586</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45586</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45586</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45586</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45586</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45586</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45586</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45586</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45586</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45586</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45586</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45586</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45586</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45586</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45586</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45586</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45586</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45586</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45586</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45586</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45586</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45586</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45586</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45586</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45586</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45586</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45586</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45586</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45586</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45586</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45586</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45586</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45586</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45586</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45586</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45586</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45586</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45586</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45586</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45586</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45586</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45586</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45586</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45586</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45586</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45586</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45586</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45586</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45586</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45586</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45586</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45586</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45586</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45586</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45586</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45586</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45586</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45586</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45586</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45586</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45586</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45586</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45586</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45586</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45586</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45586</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45586</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45586</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45586</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45586</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45586</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45586</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45586</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45586</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45586</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45586</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45586</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45586</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45586</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45586</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45586</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45586</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45586</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45586</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45586</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45586</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45586</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45586</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45586</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45586</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45586</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45586</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45586</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45586</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45586</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45586</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45586</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45586</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45586</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45586</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45586</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45586</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45586</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45586</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45586</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45586</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45586</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45586</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45586</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45586</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45586</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45586</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45586</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45586</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45586</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45586</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45586</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45586</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45586</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45586</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45586</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45586</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45586</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45586</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45586</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45586</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45586</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45586</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45586</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45586</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45586</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45586</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45586</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45586</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45586</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45586</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45586</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45586</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45586</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45586</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45586</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45586</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45586</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45586</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45586</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45586</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45586</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45586</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45586</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45586</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45586</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45586</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45586</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45586</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45586</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45586</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45586</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45586</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45586</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45586</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45586</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45586</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45586</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45586</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45586</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45586</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45586</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45586</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45586</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45586</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45586</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45586</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45586</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45586</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45586</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45586</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45586</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45586</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45586</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45586</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45586</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45586</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45586</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45586</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45586</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45586</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45586</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45586</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45586</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45586</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45586</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45586</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45586</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45586</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45586</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45586</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45586</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45586</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45586</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45586</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45586</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45586</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45586</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45586</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45586</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45586</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45586</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45586</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45586</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45586</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45586</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45586</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45586</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45586</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45586</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45586</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45586</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45586</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45586</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45586</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45586</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45586</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45586</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45586</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45586</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45586</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45586</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45586</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45586</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45586</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45586</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45586</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45586</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45586</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45586</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45586</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45586</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45586</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45586</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45586</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45586</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45586</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45586</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45586</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45586</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45586</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45586</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45586</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45586</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45586</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45586</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45586</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45586</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45586</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45586</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45586</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45586</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45586</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45586</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45586</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45586</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45586</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45586</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45586</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45586</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45586</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45586</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45586</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45586</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45586</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45586</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45586</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45586</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45586</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45586</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45586</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45586</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45586</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45586</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45586</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45586</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45586</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45586</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45586</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45586</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45586</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45586</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45586</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45586</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45586</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45586</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45586</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45586</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45586</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45586</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45586</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45586</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45586</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45586</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45586</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45586</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45586</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45586</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45586</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45586</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45586</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45586</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45586</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45586</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45586</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45586</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45586</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45586</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45586</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45586</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45586</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45586</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45586</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45586</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45586</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45586</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45586</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45586</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45586</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45586</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45586</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45586</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45586</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45586</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45586</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45586</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45586</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45586</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45586</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45586</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45586</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45586</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45586</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45586</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45586</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45586</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45586</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45586</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45586</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45586</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45586</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45586</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45586</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45586</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45586</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45586</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45586</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45586</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45586</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45586</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45586</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45586</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45586</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45586</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45586</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45586</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45586</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45586</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45586</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45586</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45586</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45586</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45586</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45586</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45586</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45586</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45586</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45586</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45586</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45586</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45586</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45586</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45586</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45586</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45586</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45586</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45586</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45586</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45586</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45586</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45586</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45586</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45586</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45586</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45586</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45586</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45586</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45586</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45586</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45586</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45586</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45586</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45586</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45586</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45586</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45586</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45586</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45586</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45586</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45586</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45586</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45586</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45586</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45586</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45586</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45586</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45586</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45586</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45586</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45586</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45586</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45586</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45586</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45586</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45586</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45586</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45586</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45586</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45586</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45586</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45586</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45586</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45586</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45586</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45586</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45586</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45586</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45586</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45586</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45586</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45586</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45586</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45586</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45586</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45586</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45586</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45586</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45586</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45586</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45586</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45586</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45586</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45586</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45586</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45586</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45586</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45586</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45586</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45586</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45586</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45586</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45586</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45586</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45586</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45586</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45586</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45586</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45586</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45586</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45586</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45586</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45586</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45586</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45586</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45586</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45586</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45586</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45586</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45586</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45586</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45586</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45586</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45586</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45586</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45586</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45586</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45586</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45586</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45586</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45586</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45586</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45586</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45586</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45586</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45586</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45586</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45586</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45586</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45586</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45586</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45586</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45586</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45586</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45586</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45586</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45586</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45586</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45586</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45586</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45586</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45586</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45586</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45586</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45586</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45586</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45586</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45586</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45586</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45586</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45586</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45586</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45586</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45586</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45586</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45586</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45586</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45586</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45586</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45586</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45586</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45586</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45586</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45586</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45586</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45586</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45586</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45586</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45586</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45586</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45586</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45586</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45586</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45586</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45586</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45586</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45586</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45586</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45586</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45586</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45586</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45586</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45586</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45586</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45586</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45586</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45586</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45586</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45586</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45586</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45586</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45586</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45586</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45586</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45586</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45586</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45586</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45586</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45586</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45586</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45586</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45586</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45586</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45586</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45586</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45586</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45586</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45586</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45586</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45586</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45586</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45586</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45586</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45586</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45586</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45586</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45586</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45586</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45586</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45586</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45586</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45586</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45586</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45586</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45586</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45586</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45586</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45586</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45586</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45586</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45586</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45586</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45586</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45586</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45586</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45586</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45586</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45586</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45586</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45586</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45586</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45586</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45586</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45586</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45586</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45586</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45586</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45586</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45586</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45586</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45586</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45586</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45586</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45586</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45586</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45586</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45586</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45586</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45586</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45586</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45586</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45586</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45586</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45586</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45586</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45586</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45586</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45586</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45586</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45586</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45586</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45586</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45586</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45586</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45586</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45586</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45586</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45586</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45586</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45586</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45586</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45586</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45586</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45586</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45586</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45586</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45586</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45586</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45586</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45586</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45586</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45586</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45586</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45586</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45586</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45586</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45586</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45586</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45586</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45586</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45586</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45586</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45586</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45586</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45586</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45586</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45586</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45586</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45586</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45586</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45586</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45586</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45586</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45586</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45586</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45586</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45586</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45586</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45586</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45586</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45586</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45586</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45586</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45586</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45586</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45586</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45586</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45586</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45586</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45586</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45586</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45586</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45586</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45586</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45586</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45586</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45586</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45586</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45586</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45586</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45586</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45586</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45586</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45586</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45586</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45586</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45586</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45586</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45586</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45586</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45586</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45586</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45586</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45586</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45586</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45586</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45586</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45586</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45586</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45586</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45586</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45586</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45586</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45586</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45586</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45586</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45586</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45586</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45586</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45586</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45586</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45586</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45586</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45586</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45586</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45586</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45586</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45586</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45586</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45586</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45586</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45586</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45586</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45586</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45586</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45586</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45586</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45586</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45586</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45586</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45586</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45586</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45586</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45586</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45586</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45586</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45586</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45586</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45586</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45586</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45586</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45586</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45586</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45586</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45586</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45586</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45586</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45586</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45586</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45586</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45586</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45586</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45586</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45586</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45586</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45586</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45586</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45586</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45586</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45586</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45586</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45586</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45586</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45586</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45586</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45586</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45586</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45586</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45586</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45586</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45586</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45586</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45586</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45586</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45586</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45586</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45586</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45586</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45586</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45586</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45586</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45586</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45586</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45586</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45586</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45586</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45586</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45586</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45586</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45586</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45586</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45586</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45586</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45586</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45586</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45586</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45586</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45586</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45586</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45586</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45586</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45586</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45586</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45586</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45586</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45586</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45586</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45586</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45586</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45586</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45586</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45586</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45586</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45586</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45586</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45586</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45586</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45586</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45586</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45586</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45586</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45586</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45586</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45586</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45586</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45586</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45586</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45586</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45586</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45586</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45586</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45586</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45586</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45586</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45586</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45586</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45586</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45586</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45586</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45586</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45586</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45586</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45586</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45586</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45586</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45586</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45586</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45586</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45586</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45586</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45586</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45586</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45586</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45586</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45586</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45586</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45586</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45586</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45586</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45586</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45586</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45586</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45586</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45586</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45586</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45586</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45586</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45586</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45586</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45586</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45586</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45586</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45586</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45586</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45586</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45586</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45586</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45586</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45586</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45586</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45586</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45586</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45586</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45586</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45586</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45586</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45586</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45586</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45586</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45586</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45586</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45586</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45586</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45586</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45586</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45586</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45586</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45586</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45586</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45586</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45586</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45586</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45586</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45586</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45586</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45586</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45586</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45586</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45586</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45586</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45586</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45586</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45586</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45586</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45586</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45586</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45586</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45586</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45586</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45586</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45586</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45586</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45586</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45586</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45586</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45586</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45586</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45586</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45586</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45586</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45586</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45586</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45586</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45586</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45586</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45586</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45586</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45586</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45586</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45586</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45586</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45586</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45586</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45586</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45586</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45586</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45586</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45586</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45586</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45586</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45586</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45586</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45586</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45586</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45586</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45586</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45586</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45586</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45586</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45586</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45586</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45586</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45586</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45586</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45586</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45586</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45586</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45586</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45586</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45586</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45586</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45586</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45586</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45586</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45586</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45586</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45586</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45586</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45586</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45586</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45586</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45586</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45586</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45586</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45586</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45586</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45586</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45586</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45586</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45586</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45586</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45586</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45586</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45586</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45586</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45586</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45586</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45586</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45586</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45586</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45586</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45586</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45586</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45586</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45586</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45586</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45586</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45586</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45586</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45586</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45586</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45586</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45586</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45586</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45586</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45586</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45586</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45586</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45586</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45586</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45586</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45586</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45586</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45586</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45586</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45586</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45586</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45586</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45586</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45586</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45586</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45586</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45586</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45586</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45586</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45586</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45586</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45586</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45586</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45586</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45586</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45586</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45586</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45586</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45586</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45586</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45586</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45586</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45586</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45586</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45586</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45586</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45586</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45586</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45586</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45586</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45586</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45586</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45586</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45586</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45586</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45586</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45586</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45586</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45586</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45586</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45586</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45586</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45586</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45586</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45586</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45586</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45586</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45586</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45586</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45586</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45586</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45586</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45586</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45586</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45586</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45586</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45586</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45586</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45586</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45586</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45586</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45586</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45586</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45586</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45586</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45586</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45586</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45586</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45586</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45586</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45586</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45586</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45586</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45586</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45586</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45586</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45586</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45586</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45586</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45586</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45586</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45586</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45586</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45586</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45586</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45586</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45586</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45586</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45586</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45586</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45586</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45586</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45586</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45586</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45586</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45586</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45586</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45586</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45586</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45586</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45586</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45586</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45586</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45586</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45586</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45586</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45586</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45586</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45586</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45586</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45586</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45586</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45586</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45586</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45586</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45586</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45586</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45586</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45586</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45586</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45586</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45586</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45586</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45586</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45586</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45586</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45586</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45586</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45586</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45586</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45586</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45586</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45586</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45586</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45586</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45586</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45586</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45586</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45586</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45586</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45586</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45586</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45586</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45586</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45586</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45586</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45586</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45586</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45586</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45586</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45586</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45586</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45586</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45586</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45586</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45586</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45586</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45586</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45586</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45586</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45586</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45586</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45586</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45586</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45586</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45586</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45586</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45586</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45586</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45586</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45586</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45586</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45586</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45586</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45586</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45586</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45586</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45586</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45586</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45586</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45586</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45586</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45586</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45586</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45586</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45586</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45586</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45586</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45586</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45586</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45586</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45586</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45586</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45586</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45586</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45586</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45586</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45586</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45586</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45586</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45586</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45586</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45586</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45586</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45586</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45586</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45586</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45586</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45586</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45586</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45586</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45586</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45586</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45586</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45586</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45586</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45586</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45586</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45586</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45586</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45586</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45586</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45586</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45586</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45586</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45586</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45586</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45586</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45586</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45586</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45586</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45586</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45586</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45586</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45586</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45586</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45586</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45586</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45586</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45586</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45586</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45586</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45586</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45586</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45586</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45586</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45586</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45586</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45586</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45586</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45586</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45586</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45586</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45586</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45586</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45586</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45586</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45586</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45586</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45586</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45586</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45586</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45586</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45586</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45586</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45586</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45586</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45586</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45586</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45586</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45586</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45586</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45586</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45586</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45586</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45586</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45586</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45586</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45586</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45586</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45586</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45586</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45586</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45586</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45586</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45586</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45586</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45586</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45586</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45586</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45586</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45586</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45586</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45586</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45586</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45586</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45586</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45586</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45586</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45586</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45586</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45586</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45586</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45586</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45586</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45586</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45586</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45586</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45586</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45586</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45586</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45586</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45586</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45586</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45586</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45586</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45586</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45586</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45586</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45586</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45586</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45586</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45586</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45586</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45586</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45586</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45586</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45586</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45586</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45586</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45586</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45586</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45586</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45586</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45586</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45586</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45586</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45586</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45586</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45586</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45586</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45586</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45586</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45586</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45586</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45586</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45586</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45586</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45586</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45586</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45586</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45586</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45586</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45586</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45586</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45586</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45586</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45586</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45586</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45586</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45586</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45586</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45586</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45586</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45586</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45586</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45586</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45586</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45586</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45586</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45586</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45586</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45586</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45586</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45586</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45586</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45586</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45586</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45586</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45586</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45586</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45586</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45586</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45586</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45586</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45586</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45586</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45586</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45586</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45586</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45586</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45586</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45586</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45586</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45586</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45586</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45586</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45586</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45586</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45586</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45586</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45586</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45586</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45586</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45586</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45586</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45586</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45586</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45586</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45586</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45586</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45586</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45586</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45586</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45586</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45586</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45586</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45586</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45586</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45586</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45586</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45586</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45586</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45586</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45586</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45586</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45586</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45586</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45586</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45586</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45586</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45586</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45586</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45586</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45586</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45586</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45586</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45586</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45586</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45586</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45586</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45586</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45586</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45586</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45586</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45586</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45586</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45586</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45586</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45586</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45586</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45586</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45586</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45586</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45586</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45586</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45586</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45586</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45586</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45586</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45586</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45586</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45586</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45586</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45586</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45586</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45586</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45586</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45586</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45586</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45586</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45586</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45586</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45586</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45586</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45586</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45586</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45586</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45586</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45586</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45586</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45586</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45586</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45586</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45586</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45586</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45586</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45586</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45586</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45586</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45586</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45586</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45586</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45586</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45586</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45586</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45586</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45586</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45586</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45586</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45586</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45586</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45586</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45586</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45586</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45586</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45586</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45586</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45586</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45586</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45586</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45586</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45586</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45586</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45586</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45586</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45586</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45586</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45586</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45586</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45586</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45586</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45586</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45586</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45586</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45586</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45586</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45586</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45586</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45586</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45586</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45586</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45586</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45586</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45586</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45586</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45586</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45586</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45586</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45586</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45586</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45586</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45586</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45586</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45586</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45586</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45586</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45586</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45586</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45586</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45586</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45586</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45586</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45586</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45586</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45586</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45586</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45586</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45586</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45586</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45586</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45586</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45586</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45586</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45586</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45586</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45586</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45586</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45586</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45586</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45586</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45586</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45586</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45586</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45586</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45586</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45586</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45586</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45586</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45586</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45586</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45586</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45586</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45586</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45586</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45586</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45586</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45586</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45586</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45586</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45586</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45586</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45586</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45586</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45586</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45586</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45586</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45586</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45586</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45586</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45586</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45586</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45586</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45586</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45586</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45586</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45586</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45586</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45586</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45586</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45586</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45586</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45586</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45586</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45586</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45586</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45586</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45586</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45586</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45586</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45586</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45586</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45586</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45586</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45586</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45586</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45586</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45586</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45586</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45586</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45586</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45586</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45586</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45586</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45586</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45586</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45586</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45586</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45586</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45586</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45586</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45586</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45586</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45586</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45586</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45586</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45586</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45586</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45586</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45586</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45586</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45586</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45586</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45586</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45586</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45586</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45586</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45586</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45586</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45586</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45586</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45586</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45586</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45586</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45586</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45586</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45586</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45586</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45586</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45586</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45586</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45586</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45586</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45586</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45586</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45586</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45586</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45586</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45586</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45586</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45586</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45586</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45586</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45586</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45586</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45586</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45586</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45586</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45586</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45586</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45586</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45586</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45586</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45586</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45586</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45586</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45586</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45586</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45586</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45586</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45586</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45586</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45586</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45586</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45586</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45586</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45586</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45586</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45586</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45586</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45586</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45586</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45586</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45586</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45586</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45586</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45586</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45586</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45586</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45586</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45586</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45586</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45586</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45586</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45586</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45586</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45586</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45586</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45586</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45586</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45586</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45586</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45586</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45586</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45586</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45586</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45586</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45586</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45586</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45586</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45586</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45586</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45586</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45586</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45586</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45586</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45586</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45586</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45586</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45586</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45586</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45586</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45586</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45586</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45586</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45586</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45586</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45586</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45586</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45586</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45586</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45586</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45586</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45586</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45586</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45586</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45586</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45586</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45586</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45586</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45586</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45586</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45586</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45586</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45586</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45586</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45586</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45586</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45586</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45586</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45586</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45586</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45586</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45586</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45586</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45586</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45586</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45586</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45586</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45586</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45586</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45586</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45586</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45586</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45586</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45586</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45586</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45586</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45586</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45586</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45586</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45586</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45586</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45586</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45586</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45586</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45586</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45586</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45586</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45586</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45586</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45586</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45586</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45586</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45586</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45586</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45586</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45586</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45586</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45586</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45586</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45586</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45586</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45586</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45586</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45586</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45586</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45586</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45586</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45586</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45586</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45586</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45586</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45586</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45586</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45586</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45586</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45586</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45586</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45586</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45586</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45586</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45586</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45586</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45586</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45586</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45586</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45586</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45586</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45586</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45586</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45586</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45586</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45586</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45586</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45586</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45586</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45586</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45586</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45586</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45586</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45586</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45586</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45586</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45586</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45586</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45586</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45586</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45586</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45586</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45586</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45586</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45586</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45586</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45586</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45586</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45586</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45586</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45586</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45586</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45586</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45586</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45586</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45586</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45586</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45586</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45586</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45586</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45586</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45586</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45586</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45586</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45586</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45586</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45586</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45586</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45586</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45586</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45586</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45586</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45586</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45586</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45586</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45586</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45586</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45586</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45586</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45586</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45586</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45586</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45586</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45586</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45586</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45586</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45586</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45586</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45586</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45586</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45586</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45586</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45586</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45586</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45586</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45586</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45586</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45586</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45586</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45586</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45586</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45586</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45586</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45586</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45586</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45586</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45586</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45586</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45586</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45586</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45586</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45586</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45586</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45586</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45586</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45586</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45586</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45586</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45586</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45586</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45586</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45586</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45586</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45586</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45586</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45586</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45586</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45586</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45586</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45586</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45586</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45586</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45586</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45586</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45586</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45586</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45586</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45586</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45586</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45586</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45586</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45586</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45586</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45586</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45586</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45586</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45586</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45586</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45586</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45586</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45586</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45586</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45586</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45586</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45586</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45586</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45586</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45586</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45586</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45586</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45586</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45586</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45586</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45586</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45586</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45586</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45586</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45586</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45586</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45586</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45586</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45586</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45586</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45586</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45586</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45586</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45586</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45586</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45586</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45586</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45586</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45586</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40270-2024</t>
        </is>
      </c>
      <c r="B19519" s="1" t="n">
        <v>45554</v>
      </c>
      <c r="C19519" s="1" t="n">
        <v>45586</v>
      </c>
      <c r="D19519" t="inlineStr">
        <is>
          <t>VÄSTRA GÖTALANDS LÄN</t>
        </is>
      </c>
      <c r="E19519" t="inlineStr">
        <is>
          <t>ORUST</t>
        </is>
      </c>
      <c r="G19519" t="n">
        <v>3</v>
      </c>
      <c r="H19519" t="n">
        <v>0</v>
      </c>
      <c r="I19519" t="n">
        <v>0</v>
      </c>
      <c r="J19519" t="n">
        <v>0</v>
      </c>
      <c r="K19519" t="n">
        <v>0</v>
      </c>
      <c r="L19519" t="n">
        <v>0</v>
      </c>
      <c r="M19519" t="n">
        <v>0</v>
      </c>
      <c r="N19519" t="n">
        <v>0</v>
      </c>
      <c r="O19519" t="n">
        <v>0</v>
      </c>
      <c r="P19519" t="n">
        <v>0</v>
      </c>
      <c r="Q19519" t="n">
        <v>0</v>
      </c>
      <c r="R19519" s="2" t="inlineStr"/>
      <c r="U19519">
        <f>HYPERLINK("https://klasma.github.io/Logging_1421/knärot/A 40270-2024 karta knärot.png", "A 40270-2024")</f>
        <v/>
      </c>
      <c r="V19519">
        <f>HYPERLINK("https://klasma.github.io/Logging_1421/klagomål/A 40270-2024 FSC-klagomål.docx", "A 40270-2024")</f>
        <v/>
      </c>
      <c r="W19519">
        <f>HYPERLINK("https://klasma.github.io/Logging_1421/klagomålsmail/A 40270-2024 FSC-klagomål mail.docx", "A 40270-2024")</f>
        <v/>
      </c>
      <c r="X19519">
        <f>HYPERLINK("https://klasma.github.io/Logging_1421/tillsyn/A 40270-2024 tillsynsbegäran.docx", "A 40270-2024")</f>
        <v/>
      </c>
      <c r="Y19519">
        <f>HYPERLINK("https://klasma.github.io/Logging_1421/tillsynsmail/A 40270-2024 tillsynsbegäran mail.docx", "A 40270-2024")</f>
        <v/>
      </c>
    </row>
    <row r="19520" ht="15" customHeight="1">
      <c r="A19520" t="inlineStr">
        <is>
          <t>A 40278-2024</t>
        </is>
      </c>
      <c r="B19520" s="1" t="n">
        <v>45554</v>
      </c>
      <c r="C19520" s="1" t="n">
        <v>45586</v>
      </c>
      <c r="D19520" t="inlineStr">
        <is>
          <t>VÄSTRA GÖTALANDS LÄN</t>
        </is>
      </c>
      <c r="E19520" t="inlineStr">
        <is>
          <t>ÅMÅL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45586</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45586</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45586</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45586</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45586</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45586</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40297-2024</t>
        </is>
      </c>
      <c r="B19527" s="1" t="n">
        <v>45554</v>
      </c>
      <c r="C19527" s="1" t="n">
        <v>45586</v>
      </c>
      <c r="D19527" t="inlineStr">
        <is>
          <t>VÄSTRA GÖTALANDS LÄN</t>
        </is>
      </c>
      <c r="E19527" t="inlineStr">
        <is>
          <t>UDDEVALLA</t>
        </is>
      </c>
      <c r="G19527" t="n">
        <v>6.7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40091-2024</t>
        </is>
      </c>
      <c r="B19528" s="1" t="n">
        <v>45554</v>
      </c>
      <c r="C19528" s="1" t="n">
        <v>45586</v>
      </c>
      <c r="D19528" t="inlineStr">
        <is>
          <t>VÄSTRA GÖTALANDS LÄN</t>
        </is>
      </c>
      <c r="E19528" t="inlineStr">
        <is>
          <t>TIDAHOLM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40224-2024</t>
        </is>
      </c>
      <c r="B19529" s="1" t="n">
        <v>45554</v>
      </c>
      <c r="C19529" s="1" t="n">
        <v>45586</v>
      </c>
      <c r="D19529" t="inlineStr">
        <is>
          <t>VÄSTRA GÖTALANDS LÄN</t>
        </is>
      </c>
      <c r="E19529" t="inlineStr">
        <is>
          <t>VARA</t>
        </is>
      </c>
      <c r="F19529" t="inlineStr">
        <is>
          <t>Kommuner</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40238-2024</t>
        </is>
      </c>
      <c r="B19530" s="1" t="n">
        <v>45554</v>
      </c>
      <c r="C19530" s="1" t="n">
        <v>45586</v>
      </c>
      <c r="D19530" t="inlineStr">
        <is>
          <t>VÄSTRA GÖTALANDS LÄN</t>
        </is>
      </c>
      <c r="E19530" t="inlineStr">
        <is>
          <t>FALKÖPING</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45586</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45586</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41060-2024</t>
        </is>
      </c>
      <c r="B19533" s="1" t="n">
        <v>45554</v>
      </c>
      <c r="C19533" s="1" t="n">
        <v>45586</v>
      </c>
      <c r="D19533" t="inlineStr">
        <is>
          <t>VÄSTRA GÖTALANDS LÄN</t>
        </is>
      </c>
      <c r="E19533" t="inlineStr">
        <is>
          <t>TROLLHÄTTAN</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40299-2024</t>
        </is>
      </c>
      <c r="B19534" s="1" t="n">
        <v>45554</v>
      </c>
      <c r="C19534" s="1" t="n">
        <v>45586</v>
      </c>
      <c r="D19534" t="inlineStr">
        <is>
          <t>VÄSTRA GÖTALANDS LÄN</t>
        </is>
      </c>
      <c r="E19534" t="inlineStr">
        <is>
          <t>HJO</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45586</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45586</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45586</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40399-2024</t>
        </is>
      </c>
      <c r="B19538" s="1" t="n">
        <v>45555</v>
      </c>
      <c r="C19538" s="1" t="n">
        <v>45586</v>
      </c>
      <c r="D19538" t="inlineStr">
        <is>
          <t>VÄSTRA GÖTALANDS LÄN</t>
        </is>
      </c>
      <c r="E19538" t="inlineStr">
        <is>
          <t>VÄNERSBORG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40553-2024</t>
        </is>
      </c>
      <c r="B19539" s="1" t="n">
        <v>45555</v>
      </c>
      <c r="C19539" s="1" t="n">
        <v>45586</v>
      </c>
      <c r="D19539" t="inlineStr">
        <is>
          <t>VÄSTRA GÖTALANDS LÄN</t>
        </is>
      </c>
      <c r="E19539" t="inlineStr">
        <is>
          <t>MARK</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40557-2024</t>
        </is>
      </c>
      <c r="B19540" s="1" t="n">
        <v>45555</v>
      </c>
      <c r="C19540" s="1" t="n">
        <v>45586</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40544-2024</t>
        </is>
      </c>
      <c r="B19541" s="1" t="n">
        <v>45555</v>
      </c>
      <c r="C19541" s="1" t="n">
        <v>45586</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40552-2024</t>
        </is>
      </c>
      <c r="B19542" s="1" t="n">
        <v>45555</v>
      </c>
      <c r="C19542" s="1" t="n">
        <v>45586</v>
      </c>
      <c r="D19542" t="inlineStr">
        <is>
          <t>VÄSTRA GÖTALANDS LÄN</t>
        </is>
      </c>
      <c r="E19542" t="inlineStr">
        <is>
          <t>SVENLJUNGA</t>
        </is>
      </c>
      <c r="F19542" t="inlineStr">
        <is>
          <t>Kommuner</t>
        </is>
      </c>
      <c r="G19542" t="n">
        <v>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45586</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45586</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45586</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40369-2024</t>
        </is>
      </c>
      <c r="B19546" s="1" t="n">
        <v>45555</v>
      </c>
      <c r="C19546" s="1" t="n">
        <v>45586</v>
      </c>
      <c r="D19546" t="inlineStr">
        <is>
          <t>VÄSTRA GÖTALANDS LÄN</t>
        </is>
      </c>
      <c r="E19546" t="inlineStr">
        <is>
          <t>STRÖMSTAD</t>
        </is>
      </c>
      <c r="G19546" t="n">
        <v>14.5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40463-2024</t>
        </is>
      </c>
      <c r="B19547" s="1" t="n">
        <v>45555</v>
      </c>
      <c r="C19547" s="1" t="n">
        <v>45586</v>
      </c>
      <c r="D19547" t="inlineStr">
        <is>
          <t>VÄSTRA GÖTALANDS LÄN</t>
        </is>
      </c>
      <c r="E19547" t="inlineStr">
        <is>
          <t>ULRICEHAMN</t>
        </is>
      </c>
      <c r="F19547" t="inlineStr">
        <is>
          <t>Sveaskog</t>
        </is>
      </c>
      <c r="G19547" t="n">
        <v>14.7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45586</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40603-2024</t>
        </is>
      </c>
      <c r="B19549" s="1" t="n">
        <v>45556</v>
      </c>
      <c r="C19549" s="1" t="n">
        <v>45586</v>
      </c>
      <c r="D19549" t="inlineStr">
        <is>
          <t>VÄSTRA GÖTALANDS LÄN</t>
        </is>
      </c>
      <c r="E19549" t="inlineStr">
        <is>
          <t>TIDAHOLM</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40604-2024</t>
        </is>
      </c>
      <c r="B19550" s="1" t="n">
        <v>45556</v>
      </c>
      <c r="C19550" s="1" t="n">
        <v>45586</v>
      </c>
      <c r="D19550" t="inlineStr">
        <is>
          <t>VÄSTRA GÖTALANDS LÄN</t>
        </is>
      </c>
      <c r="E19550" t="inlineStr">
        <is>
          <t>BORÅS</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40629-2024</t>
        </is>
      </c>
      <c r="B19551" s="1" t="n">
        <v>45557</v>
      </c>
      <c r="C19551" s="1" t="n">
        <v>45586</v>
      </c>
      <c r="D19551" t="inlineStr">
        <is>
          <t>VÄSTRA GÖTALANDS LÄN</t>
        </is>
      </c>
      <c r="E19551" t="inlineStr">
        <is>
          <t>HJO</t>
        </is>
      </c>
      <c r="G19551" t="n">
        <v>11.5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40654-2024</t>
        </is>
      </c>
      <c r="B19552" s="1" t="n">
        <v>45557</v>
      </c>
      <c r="C19552" s="1" t="n">
        <v>45586</v>
      </c>
      <c r="D19552" t="inlineStr">
        <is>
          <t>VÄSTRA GÖTALANDS LÄN</t>
        </is>
      </c>
      <c r="E19552" t="inlineStr">
        <is>
          <t>STRÖMSTAD</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40666-2024</t>
        </is>
      </c>
      <c r="B19553" s="1" t="n">
        <v>45557</v>
      </c>
      <c r="C19553" s="1" t="n">
        <v>45586</v>
      </c>
      <c r="D19553" t="inlineStr">
        <is>
          <t>VÄSTRA GÖTALANDS LÄN</t>
        </is>
      </c>
      <c r="E19553" t="inlineStr">
        <is>
          <t>STRÖMSTAD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40652-2024</t>
        </is>
      </c>
      <c r="B19554" s="1" t="n">
        <v>45557</v>
      </c>
      <c r="C19554" s="1" t="n">
        <v>45586</v>
      </c>
      <c r="D19554" t="inlineStr">
        <is>
          <t>VÄSTRA GÖTALANDS LÄN</t>
        </is>
      </c>
      <c r="E19554" t="inlineStr">
        <is>
          <t>STRÖMSTAD</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40647-2024</t>
        </is>
      </c>
      <c r="B19555" s="1" t="n">
        <v>45557</v>
      </c>
      <c r="C19555" s="1" t="n">
        <v>45586</v>
      </c>
      <c r="D19555" t="inlineStr">
        <is>
          <t>VÄSTRA GÖTALANDS LÄN</t>
        </is>
      </c>
      <c r="E19555" t="inlineStr">
        <is>
          <t>MUNKEDAL</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40667-2024</t>
        </is>
      </c>
      <c r="B19556" s="1" t="n">
        <v>45557</v>
      </c>
      <c r="C19556" s="1" t="n">
        <v>45586</v>
      </c>
      <c r="D19556" t="inlineStr">
        <is>
          <t>VÄSTRA GÖTALANDS LÄN</t>
        </is>
      </c>
      <c r="E19556" t="inlineStr">
        <is>
          <t>STRÖMSTAD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40670-2024</t>
        </is>
      </c>
      <c r="B19557" s="1" t="n">
        <v>45558</v>
      </c>
      <c r="C19557" s="1" t="n">
        <v>45586</v>
      </c>
      <c r="D19557" t="inlineStr">
        <is>
          <t>VÄSTRA GÖTALANDS LÄN</t>
        </is>
      </c>
      <c r="E19557" t="inlineStr">
        <is>
          <t>SKARA</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40678-2024</t>
        </is>
      </c>
      <c r="B19558" s="1" t="n">
        <v>45558</v>
      </c>
      <c r="C19558" s="1" t="n">
        <v>45586</v>
      </c>
      <c r="D19558" t="inlineStr">
        <is>
          <t>VÄSTRA GÖTALANDS LÄN</t>
        </is>
      </c>
      <c r="E19558" t="inlineStr">
        <is>
          <t>SKARA</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40684-2024</t>
        </is>
      </c>
      <c r="B19559" s="1" t="n">
        <v>45558</v>
      </c>
      <c r="C19559" s="1" t="n">
        <v>45586</v>
      </c>
      <c r="D19559" t="inlineStr">
        <is>
          <t>VÄSTRA GÖTALANDS LÄN</t>
        </is>
      </c>
      <c r="E19559" t="inlineStr">
        <is>
          <t>ULRICEHAMN</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40704-2024</t>
        </is>
      </c>
      <c r="B19560" s="1" t="n">
        <v>45558</v>
      </c>
      <c r="C19560" s="1" t="n">
        <v>45586</v>
      </c>
      <c r="D19560" t="inlineStr">
        <is>
          <t>VÄSTRA GÖTALANDS LÄN</t>
        </is>
      </c>
      <c r="E19560" t="inlineStr">
        <is>
          <t>HERRLJUNGA</t>
        </is>
      </c>
      <c r="G19560" t="n">
        <v>3.5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40774-2024</t>
        </is>
      </c>
      <c r="B19561" s="1" t="n">
        <v>45558</v>
      </c>
      <c r="C19561" s="1" t="n">
        <v>45586</v>
      </c>
      <c r="D19561" t="inlineStr">
        <is>
          <t>VÄSTRA GÖTALANDS LÄN</t>
        </is>
      </c>
      <c r="E19561" t="inlineStr">
        <is>
          <t>FÄRGELANDA</t>
        </is>
      </c>
      <c r="G19561" t="n">
        <v>3.6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40778-2024</t>
        </is>
      </c>
      <c r="B19562" s="1" t="n">
        <v>45558</v>
      </c>
      <c r="C19562" s="1" t="n">
        <v>45586</v>
      </c>
      <c r="D19562" t="inlineStr">
        <is>
          <t>VÄSTRA GÖTALANDS LÄN</t>
        </is>
      </c>
      <c r="E19562" t="inlineStr">
        <is>
          <t>FÄRGELANDA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40828-2024</t>
        </is>
      </c>
      <c r="B19563" s="1" t="n">
        <v>45558</v>
      </c>
      <c r="C19563" s="1" t="n">
        <v>45586</v>
      </c>
      <c r="D19563" t="inlineStr">
        <is>
          <t>VÄSTRA GÖTALANDS LÄN</t>
        </is>
      </c>
      <c r="E19563" t="inlineStr">
        <is>
          <t>MELLERUD</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40844-2024</t>
        </is>
      </c>
      <c r="B19564" s="1" t="n">
        <v>45558</v>
      </c>
      <c r="C19564" s="1" t="n">
        <v>45586</v>
      </c>
      <c r="D19564" t="inlineStr">
        <is>
          <t>VÄSTRA GÖTALANDS LÄN</t>
        </is>
      </c>
      <c r="E19564" t="inlineStr">
        <is>
          <t>BENGTSFORS</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40856-2024</t>
        </is>
      </c>
      <c r="B19565" s="1" t="n">
        <v>45558</v>
      </c>
      <c r="C19565" s="1" t="n">
        <v>45586</v>
      </c>
      <c r="D19565" t="inlineStr">
        <is>
          <t>VÄSTRA GÖTALANDS LÄN</t>
        </is>
      </c>
      <c r="E19565" t="inlineStr">
        <is>
          <t>BENGTSFORS</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40651-2024</t>
        </is>
      </c>
      <c r="B19566" s="1" t="n">
        <v>45558</v>
      </c>
      <c r="C19566" s="1" t="n">
        <v>45586</v>
      </c>
      <c r="D19566" t="inlineStr">
        <is>
          <t>VÄSTRA GÖTALANDS LÄN</t>
        </is>
      </c>
      <c r="E19566" t="inlineStr">
        <is>
          <t>MARIESTAD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40671-2024</t>
        </is>
      </c>
      <c r="B19567" s="1" t="n">
        <v>45558</v>
      </c>
      <c r="C19567" s="1" t="n">
        <v>45586</v>
      </c>
      <c r="D19567" t="inlineStr">
        <is>
          <t>VÄSTRA GÖTALANDS LÄN</t>
        </is>
      </c>
      <c r="E19567" t="inlineStr">
        <is>
          <t>TIBRO</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40717-2024</t>
        </is>
      </c>
      <c r="B19568" s="1" t="n">
        <v>45558</v>
      </c>
      <c r="C19568" s="1" t="n">
        <v>45586</v>
      </c>
      <c r="D19568" t="inlineStr">
        <is>
          <t>VÄSTRA GÖTALANDS LÄN</t>
        </is>
      </c>
      <c r="E19568" t="inlineStr">
        <is>
          <t>ULRICEHAMN</t>
        </is>
      </c>
      <c r="G19568" t="n">
        <v>3.1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40725-2024</t>
        </is>
      </c>
      <c r="B19569" s="1" t="n">
        <v>45558</v>
      </c>
      <c r="C19569" s="1" t="n">
        <v>45586</v>
      </c>
      <c r="D19569" t="inlineStr">
        <is>
          <t>VÄSTRA GÖTALANDS LÄN</t>
        </is>
      </c>
      <c r="E19569" t="inlineStr">
        <is>
          <t>HERRLJUNGA</t>
        </is>
      </c>
      <c r="G19569" t="n">
        <v>7.9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40742-2024</t>
        </is>
      </c>
      <c r="B19570" s="1" t="n">
        <v>45558</v>
      </c>
      <c r="C19570" s="1" t="n">
        <v>45586</v>
      </c>
      <c r="D19570" t="inlineStr">
        <is>
          <t>VÄSTRA GÖTALANDS LÄN</t>
        </is>
      </c>
      <c r="E19570" t="inlineStr">
        <is>
          <t>SVENLJUNGA</t>
        </is>
      </c>
      <c r="G19570" t="n">
        <v>2.6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40799-2024</t>
        </is>
      </c>
      <c r="B19571" s="1" t="n">
        <v>45558</v>
      </c>
      <c r="C19571" s="1" t="n">
        <v>45586</v>
      </c>
      <c r="D19571" t="inlineStr">
        <is>
          <t>VÄSTRA GÖTALANDS LÄN</t>
        </is>
      </c>
      <c r="E19571" t="inlineStr">
        <is>
          <t>BENGTSFORS</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40821-2024</t>
        </is>
      </c>
      <c r="B19572" s="1" t="n">
        <v>45558</v>
      </c>
      <c r="C19572" s="1" t="n">
        <v>45586</v>
      </c>
      <c r="D19572" t="inlineStr">
        <is>
          <t>VÄSTRA GÖTALANDS LÄN</t>
        </is>
      </c>
      <c r="E19572" t="inlineStr">
        <is>
          <t>MELLERUD</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40825-2024</t>
        </is>
      </c>
      <c r="B19573" s="1" t="n">
        <v>45558</v>
      </c>
      <c r="C19573" s="1" t="n">
        <v>45586</v>
      </c>
      <c r="D19573" t="inlineStr">
        <is>
          <t>VÄSTRA GÖTALANDS LÄN</t>
        </is>
      </c>
      <c r="E19573" t="inlineStr">
        <is>
          <t>BORÅS</t>
        </is>
      </c>
      <c r="G19573" t="n">
        <v>3.7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40833-2024</t>
        </is>
      </c>
      <c r="B19574" s="1" t="n">
        <v>45558</v>
      </c>
      <c r="C19574" s="1" t="n">
        <v>45586</v>
      </c>
      <c r="D19574" t="inlineStr">
        <is>
          <t>VÄSTRA GÖTALANDS LÄN</t>
        </is>
      </c>
      <c r="E19574" t="inlineStr">
        <is>
          <t>MELLERUD</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40930-2024</t>
        </is>
      </c>
      <c r="B19575" s="1" t="n">
        <v>45558</v>
      </c>
      <c r="C19575" s="1" t="n">
        <v>45586</v>
      </c>
      <c r="D19575" t="inlineStr">
        <is>
          <t>VÄSTRA GÖTALANDS LÄN</t>
        </is>
      </c>
      <c r="E19575" t="inlineStr">
        <is>
          <t>VÄNERSBORG</t>
        </is>
      </c>
      <c r="G19575" t="n">
        <v>4.2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40714-2024</t>
        </is>
      </c>
      <c r="B19576" s="1" t="n">
        <v>45558</v>
      </c>
      <c r="C19576" s="1" t="n">
        <v>45586</v>
      </c>
      <c r="D19576" t="inlineStr">
        <is>
          <t>VÄSTRA GÖTALANDS LÄN</t>
        </is>
      </c>
      <c r="E19576" t="inlineStr">
        <is>
          <t>ULRICEHAMN</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40722-2024</t>
        </is>
      </c>
      <c r="B19577" s="1" t="n">
        <v>45558</v>
      </c>
      <c r="C19577" s="1" t="n">
        <v>45586</v>
      </c>
      <c r="D19577" t="inlineStr">
        <is>
          <t>VÄSTRA GÖTALANDS LÄN</t>
        </is>
      </c>
      <c r="E19577" t="inlineStr">
        <is>
          <t>ORUST</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40731-2024</t>
        </is>
      </c>
      <c r="B19578" s="1" t="n">
        <v>45558</v>
      </c>
      <c r="C19578" s="1" t="n">
        <v>45586</v>
      </c>
      <c r="D19578" t="inlineStr">
        <is>
          <t>VÄSTRA GÖTALANDS LÄN</t>
        </is>
      </c>
      <c r="E19578" t="inlineStr">
        <is>
          <t>HERRLJUNGA</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40743-2024</t>
        </is>
      </c>
      <c r="B19579" s="1" t="n">
        <v>45558</v>
      </c>
      <c r="C19579" s="1" t="n">
        <v>45586</v>
      </c>
      <c r="D19579" t="inlineStr">
        <is>
          <t>VÄSTRA GÖTALANDS LÄN</t>
        </is>
      </c>
      <c r="E19579" t="inlineStr">
        <is>
          <t>ORUST</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40751-2024</t>
        </is>
      </c>
      <c r="B19580" s="1" t="n">
        <v>45558</v>
      </c>
      <c r="C19580" s="1" t="n">
        <v>45586</v>
      </c>
      <c r="D19580" t="inlineStr">
        <is>
          <t>VÄSTRA GÖTALANDS LÄN</t>
        </is>
      </c>
      <c r="E19580" t="inlineStr">
        <is>
          <t>SVENLJUNGA</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40772-2024</t>
        </is>
      </c>
      <c r="B19581" s="1" t="n">
        <v>45558</v>
      </c>
      <c r="C19581" s="1" t="n">
        <v>45586</v>
      </c>
      <c r="D19581" t="inlineStr">
        <is>
          <t>VÄSTRA GÖTALANDS LÄN</t>
        </is>
      </c>
      <c r="E19581" t="inlineStr">
        <is>
          <t>FÄRGELANDA</t>
        </is>
      </c>
      <c r="G19581" t="n">
        <v>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40834-2024</t>
        </is>
      </c>
      <c r="B19582" s="1" t="n">
        <v>45558</v>
      </c>
      <c r="C19582" s="1" t="n">
        <v>45586</v>
      </c>
      <c r="D19582" t="inlineStr">
        <is>
          <t>VÄSTRA GÖTALANDS LÄN</t>
        </is>
      </c>
      <c r="E19582" t="inlineStr">
        <is>
          <t>FALKÖPING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40838-2024</t>
        </is>
      </c>
      <c r="B19583" s="1" t="n">
        <v>45558</v>
      </c>
      <c r="C19583" s="1" t="n">
        <v>45586</v>
      </c>
      <c r="D19583" t="inlineStr">
        <is>
          <t>VÄSTRA GÖTALANDS LÄN</t>
        </is>
      </c>
      <c r="E19583" t="inlineStr">
        <is>
          <t>BENGTSFORS</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40915-2024</t>
        </is>
      </c>
      <c r="B19584" s="1" t="n">
        <v>45558</v>
      </c>
      <c r="C19584" s="1" t="n">
        <v>45586</v>
      </c>
      <c r="D19584" t="inlineStr">
        <is>
          <t>VÄSTRA GÖTALANDS LÄN</t>
        </is>
      </c>
      <c r="E19584" t="inlineStr">
        <is>
          <t>BENGTSFORS</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40931-2024</t>
        </is>
      </c>
      <c r="B19585" s="1" t="n">
        <v>45558</v>
      </c>
      <c r="C19585" s="1" t="n">
        <v>45586</v>
      </c>
      <c r="D19585" t="inlineStr">
        <is>
          <t>VÄSTRA GÖTALANDS LÄN</t>
        </is>
      </c>
      <c r="E19585" t="inlineStr">
        <is>
          <t>TRANEMO</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40939-2024</t>
        </is>
      </c>
      <c r="B19586" s="1" t="n">
        <v>45558</v>
      </c>
      <c r="C19586" s="1" t="n">
        <v>45586</v>
      </c>
      <c r="D19586" t="inlineStr">
        <is>
          <t>VÄSTRA GÖTALANDS LÄN</t>
        </is>
      </c>
      <c r="E19586" t="inlineStr">
        <is>
          <t>VÄNERSBORG</t>
        </is>
      </c>
      <c r="G19586" t="n">
        <v>0.2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41022-2024</t>
        </is>
      </c>
      <c r="B19587" s="1" t="n">
        <v>45558</v>
      </c>
      <c r="C19587" s="1" t="n">
        <v>45586</v>
      </c>
      <c r="D19587" t="inlineStr">
        <is>
          <t>VÄSTRA GÖTALANDS LÄN</t>
        </is>
      </c>
      <c r="E19587" t="inlineStr">
        <is>
          <t>BENGTSFORS</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40892-2024</t>
        </is>
      </c>
      <c r="B19588" s="1" t="n">
        <v>45558</v>
      </c>
      <c r="C19588" s="1" t="n">
        <v>45586</v>
      </c>
      <c r="D19588" t="inlineStr">
        <is>
          <t>VÄSTRA GÖTALANDS LÄN</t>
        </is>
      </c>
      <c r="E19588" t="inlineStr">
        <is>
          <t>STENUNGSUND</t>
        </is>
      </c>
      <c r="G19588" t="n">
        <v>7.8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40996-2024</t>
        </is>
      </c>
      <c r="B19589" s="1" t="n">
        <v>45558</v>
      </c>
      <c r="C19589" s="1" t="n">
        <v>45586</v>
      </c>
      <c r="D19589" t="inlineStr">
        <is>
          <t>VÄSTRA GÖTALANDS LÄN</t>
        </is>
      </c>
      <c r="E19589" t="inlineStr">
        <is>
          <t>ULRICEHAMN</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40773-2024</t>
        </is>
      </c>
      <c r="B19590" s="1" t="n">
        <v>45558</v>
      </c>
      <c r="C19590" s="1" t="n">
        <v>45586</v>
      </c>
      <c r="D19590" t="inlineStr">
        <is>
          <t>VÄSTRA GÖTALANDS LÄN</t>
        </is>
      </c>
      <c r="E19590" t="inlineStr">
        <is>
          <t>BORÅS</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41024-2024</t>
        </is>
      </c>
      <c r="B19591" s="1" t="n">
        <v>45558</v>
      </c>
      <c r="C19591" s="1" t="n">
        <v>45586</v>
      </c>
      <c r="D19591" t="inlineStr">
        <is>
          <t>VÄSTRA GÖTALANDS LÄN</t>
        </is>
      </c>
      <c r="E19591" t="inlineStr">
        <is>
          <t>BENGTSFORS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45586</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41049-2024</t>
        </is>
      </c>
      <c r="B19593" s="1" t="n">
        <v>45559</v>
      </c>
      <c r="C19593" s="1" t="n">
        <v>45586</v>
      </c>
      <c r="D19593" t="inlineStr">
        <is>
          <t>VÄSTRA GÖTALANDS LÄN</t>
        </is>
      </c>
      <c r="E19593" t="inlineStr">
        <is>
          <t>SVENLJUNGA</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41011-2024</t>
        </is>
      </c>
      <c r="B19594" s="1" t="n">
        <v>45559</v>
      </c>
      <c r="C19594" s="1" t="n">
        <v>45586</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41035-2024</t>
        </is>
      </c>
      <c r="B19595" s="1" t="n">
        <v>45559</v>
      </c>
      <c r="C19595" s="1" t="n">
        <v>45586</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41039-2024</t>
        </is>
      </c>
      <c r="B19596" s="1" t="n">
        <v>45559</v>
      </c>
      <c r="C19596" s="1" t="n">
        <v>45586</v>
      </c>
      <c r="D19596" t="inlineStr">
        <is>
          <t>VÄSTRA GÖTALANDS LÄN</t>
        </is>
      </c>
      <c r="E19596" t="inlineStr">
        <is>
          <t>SVENLJUNGA</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41079-2024</t>
        </is>
      </c>
      <c r="B19597" s="1" t="n">
        <v>45559</v>
      </c>
      <c r="C19597" s="1" t="n">
        <v>45586</v>
      </c>
      <c r="D19597" t="inlineStr">
        <is>
          <t>VÄSTRA GÖTALANDS LÄN</t>
        </is>
      </c>
      <c r="E19597" t="inlineStr">
        <is>
          <t>FALKÖPING</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41166-2024</t>
        </is>
      </c>
      <c r="B19598" s="1" t="n">
        <v>45559</v>
      </c>
      <c r="C19598" s="1" t="n">
        <v>45586</v>
      </c>
      <c r="D19598" t="inlineStr">
        <is>
          <t>VÄSTRA GÖTALANDS LÄN</t>
        </is>
      </c>
      <c r="E19598" t="inlineStr">
        <is>
          <t>BENGTSFORS</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41013-2024</t>
        </is>
      </c>
      <c r="B19599" s="1" t="n">
        <v>45559</v>
      </c>
      <c r="C19599" s="1" t="n">
        <v>45586</v>
      </c>
      <c r="D19599" t="inlineStr">
        <is>
          <t>VÄSTRA GÖTALANDS LÄN</t>
        </is>
      </c>
      <c r="E19599" t="inlineStr">
        <is>
          <t>MARIESTAD</t>
        </is>
      </c>
      <c r="F19599" t="inlineStr">
        <is>
          <t>Sveaskog</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41228-2024</t>
        </is>
      </c>
      <c r="B19600" s="1" t="n">
        <v>45559</v>
      </c>
      <c r="C19600" s="1" t="n">
        <v>45586</v>
      </c>
      <c r="D19600" t="inlineStr">
        <is>
          <t>VÄSTRA GÖTALANDS LÄN</t>
        </is>
      </c>
      <c r="E19600" t="inlineStr">
        <is>
          <t>BENGTSFORS</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41309-2024</t>
        </is>
      </c>
      <c r="B19601" s="1" t="n">
        <v>45559</v>
      </c>
      <c r="C19601" s="1" t="n">
        <v>45586</v>
      </c>
      <c r="D19601" t="inlineStr">
        <is>
          <t>VÄSTRA GÖTALANDS LÄN</t>
        </is>
      </c>
      <c r="E19601" t="inlineStr">
        <is>
          <t>ALE</t>
        </is>
      </c>
      <c r="G19601" t="n">
        <v>8.4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41240-2024</t>
        </is>
      </c>
      <c r="B19602" s="1" t="n">
        <v>45559</v>
      </c>
      <c r="C19602" s="1" t="n">
        <v>45586</v>
      </c>
      <c r="D19602" t="inlineStr">
        <is>
          <t>VÄSTRA GÖTALANDS LÄN</t>
        </is>
      </c>
      <c r="E19602" t="inlineStr">
        <is>
          <t>SVENLJUNGA</t>
        </is>
      </c>
      <c r="G19602" t="n">
        <v>3.6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41256-2024</t>
        </is>
      </c>
      <c r="B19603" s="1" t="n">
        <v>45559</v>
      </c>
      <c r="C19603" s="1" t="n">
        <v>45586</v>
      </c>
      <c r="D19603" t="inlineStr">
        <is>
          <t>VÄSTRA GÖTALANDS LÄN</t>
        </is>
      </c>
      <c r="E19603" t="inlineStr">
        <is>
          <t>GULLSPÅNG</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41089-2024</t>
        </is>
      </c>
      <c r="B19604" s="1" t="n">
        <v>45559</v>
      </c>
      <c r="C19604" s="1" t="n">
        <v>45586</v>
      </c>
      <c r="D19604" t="inlineStr">
        <is>
          <t>VÄSTRA GÖTALANDS LÄN</t>
        </is>
      </c>
      <c r="E19604" t="inlineStr">
        <is>
          <t>LERUM</t>
        </is>
      </c>
      <c r="G19604" t="n">
        <v>4.6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41097-2024</t>
        </is>
      </c>
      <c r="B19605" s="1" t="n">
        <v>45559</v>
      </c>
      <c r="C19605" s="1" t="n">
        <v>45586</v>
      </c>
      <c r="D19605" t="inlineStr">
        <is>
          <t>VÄSTRA GÖTALANDS LÄN</t>
        </is>
      </c>
      <c r="E19605" t="inlineStr">
        <is>
          <t>LERUM</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41082-2024</t>
        </is>
      </c>
      <c r="B19606" s="1" t="n">
        <v>45559</v>
      </c>
      <c r="C19606" s="1" t="n">
        <v>45586</v>
      </c>
      <c r="D19606" t="inlineStr">
        <is>
          <t>VÄSTRA GÖTALANDS LÄN</t>
        </is>
      </c>
      <c r="E19606" t="inlineStr">
        <is>
          <t>FALKÖPING</t>
        </is>
      </c>
      <c r="G19606" t="n">
        <v>1.5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41086-2024</t>
        </is>
      </c>
      <c r="B19607" s="1" t="n">
        <v>45559</v>
      </c>
      <c r="C19607" s="1" t="n">
        <v>45586</v>
      </c>
      <c r="D19607" t="inlineStr">
        <is>
          <t>VÄSTRA GÖTALANDS LÄN</t>
        </is>
      </c>
      <c r="E19607" t="inlineStr">
        <is>
          <t>FÄRGELANDA</t>
        </is>
      </c>
      <c r="G19607" t="n">
        <v>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41352-2024</t>
        </is>
      </c>
      <c r="B19608" s="1" t="n">
        <v>45559</v>
      </c>
      <c r="C19608" s="1" t="n">
        <v>45586</v>
      </c>
      <c r="D19608" t="inlineStr">
        <is>
          <t>VÄSTRA GÖTALANDS LÄN</t>
        </is>
      </c>
      <c r="E19608" t="inlineStr">
        <is>
          <t>VARA</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41110-2024</t>
        </is>
      </c>
      <c r="B19609" s="1" t="n">
        <v>45559</v>
      </c>
      <c r="C19609" s="1" t="n">
        <v>45586</v>
      </c>
      <c r="D19609" t="inlineStr">
        <is>
          <t>VÄSTRA GÖTALANDS LÄN</t>
        </is>
      </c>
      <c r="E19609" t="inlineStr">
        <is>
          <t>BENGTSFORS</t>
        </is>
      </c>
      <c r="G19609" t="n">
        <v>8.6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41138-2024</t>
        </is>
      </c>
      <c r="B19610" s="1" t="n">
        <v>45559</v>
      </c>
      <c r="C19610" s="1" t="n">
        <v>45586</v>
      </c>
      <c r="D19610" t="inlineStr">
        <is>
          <t>VÄSTRA GÖTALANDS LÄN</t>
        </is>
      </c>
      <c r="E19610" t="inlineStr">
        <is>
          <t>BENGTSFORS</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41369-2024</t>
        </is>
      </c>
      <c r="B19611" s="1" t="n">
        <v>45559</v>
      </c>
      <c r="C19611" s="1" t="n">
        <v>45586</v>
      </c>
      <c r="D19611" t="inlineStr">
        <is>
          <t>VÄSTRA GÖTALANDS LÄN</t>
        </is>
      </c>
      <c r="E19611" t="inlineStr">
        <is>
          <t>SVENLJUNGA</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41123-2024</t>
        </is>
      </c>
      <c r="B19612" s="1" t="n">
        <v>45559</v>
      </c>
      <c r="C19612" s="1" t="n">
        <v>45586</v>
      </c>
      <c r="D19612" t="inlineStr">
        <is>
          <t>VÄSTRA GÖTALANDS LÄN</t>
        </is>
      </c>
      <c r="E19612" t="inlineStr">
        <is>
          <t>BENGTSFORS</t>
        </is>
      </c>
      <c r="G19612" t="n">
        <v>2.4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41213-2024</t>
        </is>
      </c>
      <c r="B19613" s="1" t="n">
        <v>45559</v>
      </c>
      <c r="C19613" s="1" t="n">
        <v>45586</v>
      </c>
      <c r="D19613" t="inlineStr">
        <is>
          <t>VÄSTRA GÖTALANDS LÄN</t>
        </is>
      </c>
      <c r="E19613" t="inlineStr">
        <is>
          <t>BENGTSFORS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41229-2024</t>
        </is>
      </c>
      <c r="B19614" s="1" t="n">
        <v>45559</v>
      </c>
      <c r="C19614" s="1" t="n">
        <v>45586</v>
      </c>
      <c r="D19614" t="inlineStr">
        <is>
          <t>VÄSTRA GÖTALANDS LÄN</t>
        </is>
      </c>
      <c r="E19614" t="inlineStr">
        <is>
          <t>BENGTSFORS</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41362-2024</t>
        </is>
      </c>
      <c r="B19615" s="1" t="n">
        <v>45559</v>
      </c>
      <c r="C19615" s="1" t="n">
        <v>45586</v>
      </c>
      <c r="D19615" t="inlineStr">
        <is>
          <t>VÄSTRA GÖTALANDS LÄN</t>
        </is>
      </c>
      <c r="E19615" t="inlineStr">
        <is>
          <t>BENGTSFORS</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41370-2024</t>
        </is>
      </c>
      <c r="B19616" s="1" t="n">
        <v>45559</v>
      </c>
      <c r="C19616" s="1" t="n">
        <v>45586</v>
      </c>
      <c r="D19616" t="inlineStr">
        <is>
          <t>VÄSTRA GÖTALANDS LÄN</t>
        </is>
      </c>
      <c r="E19616" t="inlineStr">
        <is>
          <t>SVENLJUNGA</t>
        </is>
      </c>
      <c r="G19616" t="n">
        <v>5.6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41363-2024</t>
        </is>
      </c>
      <c r="B19617" s="1" t="n">
        <v>45559</v>
      </c>
      <c r="C19617" s="1" t="n">
        <v>45586</v>
      </c>
      <c r="D19617" t="inlineStr">
        <is>
          <t>VÄSTRA GÖTALANDS LÄN</t>
        </is>
      </c>
      <c r="E19617" t="inlineStr">
        <is>
          <t>BENGTSFORS</t>
        </is>
      </c>
      <c r="G19617" t="n">
        <v>4.8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41156-2024</t>
        </is>
      </c>
      <c r="B19618" s="1" t="n">
        <v>45559</v>
      </c>
      <c r="C19618" s="1" t="n">
        <v>45586</v>
      </c>
      <c r="D19618" t="inlineStr">
        <is>
          <t>VÄSTRA GÖTALANDS LÄN</t>
        </is>
      </c>
      <c r="E19618" t="inlineStr">
        <is>
          <t>UDDEVALLA</t>
        </is>
      </c>
      <c r="G19618" t="n">
        <v>9.4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41210-2024</t>
        </is>
      </c>
      <c r="B19619" s="1" t="n">
        <v>45559</v>
      </c>
      <c r="C19619" s="1" t="n">
        <v>45586</v>
      </c>
      <c r="D19619" t="inlineStr">
        <is>
          <t>VÄSTRA GÖTALANDS LÄN</t>
        </is>
      </c>
      <c r="E19619" t="inlineStr">
        <is>
          <t>BENGTSFORS</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41360-2024</t>
        </is>
      </c>
      <c r="B19620" s="1" t="n">
        <v>45559</v>
      </c>
      <c r="C19620" s="1" t="n">
        <v>45586</v>
      </c>
      <c r="D19620" t="inlineStr">
        <is>
          <t>VÄSTRA GÖTALANDS LÄN</t>
        </is>
      </c>
      <c r="E19620" t="inlineStr">
        <is>
          <t>BENGTSFORS</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41364-2024</t>
        </is>
      </c>
      <c r="B19621" s="1" t="n">
        <v>45559</v>
      </c>
      <c r="C19621" s="1" t="n">
        <v>45586</v>
      </c>
      <c r="D19621" t="inlineStr">
        <is>
          <t>VÄSTRA GÖTALANDS LÄN</t>
        </is>
      </c>
      <c r="E19621" t="inlineStr">
        <is>
          <t>VARA</t>
        </is>
      </c>
      <c r="G19621" t="n">
        <v>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45586</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45586</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41554-2024</t>
        </is>
      </c>
      <c r="B19624" s="1" t="n">
        <v>45560</v>
      </c>
      <c r="C19624" s="1" t="n">
        <v>45586</v>
      </c>
      <c r="D19624" t="inlineStr">
        <is>
          <t>VÄSTRA GÖTALANDS LÄN</t>
        </is>
      </c>
      <c r="E19624" t="inlineStr">
        <is>
          <t>TROLLHÄTTAN</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45586</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41391-2024</t>
        </is>
      </c>
      <c r="B19626" s="1" t="n">
        <v>45560</v>
      </c>
      <c r="C19626" s="1" t="n">
        <v>45586</v>
      </c>
      <c r="D19626" t="inlineStr">
        <is>
          <t>VÄSTRA GÖTALANDS LÄN</t>
        </is>
      </c>
      <c r="E19626" t="inlineStr">
        <is>
          <t>MARIESTAD</t>
        </is>
      </c>
      <c r="F19626" t="inlineStr">
        <is>
          <t>Sveaskog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41651-2024</t>
        </is>
      </c>
      <c r="B19627" s="1" t="n">
        <v>45560</v>
      </c>
      <c r="C19627" s="1" t="n">
        <v>45586</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41511-2024</t>
        </is>
      </c>
      <c r="B19628" s="1" t="n">
        <v>45560</v>
      </c>
      <c r="C19628" s="1" t="n">
        <v>45586</v>
      </c>
      <c r="D19628" t="inlineStr">
        <is>
          <t>VÄSTRA GÖTALANDS LÄN</t>
        </is>
      </c>
      <c r="E19628" t="inlineStr">
        <is>
          <t>UDDEVALLA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41572-2024</t>
        </is>
      </c>
      <c r="B19629" s="1" t="n">
        <v>45560</v>
      </c>
      <c r="C19629" s="1" t="n">
        <v>45586</v>
      </c>
      <c r="D19629" t="inlineStr">
        <is>
          <t>VÄSTRA GÖTALANDS LÄN</t>
        </is>
      </c>
      <c r="E19629" t="inlineStr">
        <is>
          <t>ULRICEHAMN</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41464-2024</t>
        </is>
      </c>
      <c r="B19630" s="1" t="n">
        <v>45560</v>
      </c>
      <c r="C19630" s="1" t="n">
        <v>45586</v>
      </c>
      <c r="D19630" t="inlineStr">
        <is>
          <t>VÄSTRA GÖTALANDS LÄN</t>
        </is>
      </c>
      <c r="E19630" t="inlineStr">
        <is>
          <t>TRANEMO</t>
        </is>
      </c>
      <c r="F19630" t="inlineStr">
        <is>
          <t>Kyrkan</t>
        </is>
      </c>
      <c r="G19630" t="n">
        <v>10.5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41476-2024</t>
        </is>
      </c>
      <c r="B19631" s="1" t="n">
        <v>45560</v>
      </c>
      <c r="C19631" s="1" t="n">
        <v>45586</v>
      </c>
      <c r="D19631" t="inlineStr">
        <is>
          <t>VÄSTRA GÖTALANDS LÄN</t>
        </is>
      </c>
      <c r="E19631" t="inlineStr">
        <is>
          <t>SVENLJUNGA</t>
        </is>
      </c>
      <c r="G19631" t="n">
        <v>4.3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41484-2024</t>
        </is>
      </c>
      <c r="B19632" s="1" t="n">
        <v>45560</v>
      </c>
      <c r="C19632" s="1" t="n">
        <v>45586</v>
      </c>
      <c r="D19632" t="inlineStr">
        <is>
          <t>VÄSTRA GÖTALANDS LÄN</t>
        </is>
      </c>
      <c r="E19632" t="inlineStr">
        <is>
          <t>SVENLJUNGA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41585-2024</t>
        </is>
      </c>
      <c r="B19633" s="1" t="n">
        <v>45560</v>
      </c>
      <c r="C19633" s="1" t="n">
        <v>45586</v>
      </c>
      <c r="D19633" t="inlineStr">
        <is>
          <t>VÄSTRA GÖTALANDS LÄN</t>
        </is>
      </c>
      <c r="E19633" t="inlineStr">
        <is>
          <t>ULRICEHAMN</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41601-2024</t>
        </is>
      </c>
      <c r="B19634" s="1" t="n">
        <v>45560</v>
      </c>
      <c r="C19634" s="1" t="n">
        <v>45586</v>
      </c>
      <c r="D19634" t="inlineStr">
        <is>
          <t>VÄSTRA GÖTALANDS LÄN</t>
        </is>
      </c>
      <c r="E19634" t="inlineStr">
        <is>
          <t>FALKÖPING</t>
        </is>
      </c>
      <c r="G19634" t="n">
        <v>3.3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41714-2024</t>
        </is>
      </c>
      <c r="B19635" s="1" t="n">
        <v>45560</v>
      </c>
      <c r="C19635" s="1" t="n">
        <v>45586</v>
      </c>
      <c r="D19635" t="inlineStr">
        <is>
          <t>VÄSTRA GÖTALANDS LÄN</t>
        </is>
      </c>
      <c r="E19635" t="inlineStr">
        <is>
          <t>MUNKEDAL</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41725-2024</t>
        </is>
      </c>
      <c r="B19636" s="1" t="n">
        <v>45560</v>
      </c>
      <c r="C19636" s="1" t="n">
        <v>45586</v>
      </c>
      <c r="D19636" t="inlineStr">
        <is>
          <t>VÄSTRA GÖTALANDS LÄN</t>
        </is>
      </c>
      <c r="E19636" t="inlineStr">
        <is>
          <t>HÄRRYDA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41684-2024</t>
        </is>
      </c>
      <c r="B19637" s="1" t="n">
        <v>45560</v>
      </c>
      <c r="C19637" s="1" t="n">
        <v>45586</v>
      </c>
      <c r="D19637" t="inlineStr">
        <is>
          <t>VÄSTRA GÖTALANDS LÄN</t>
        </is>
      </c>
      <c r="E19637" t="inlineStr">
        <is>
          <t>TJÖRN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41692-2024</t>
        </is>
      </c>
      <c r="B19638" s="1" t="n">
        <v>45560</v>
      </c>
      <c r="C19638" s="1" t="n">
        <v>45586</v>
      </c>
      <c r="D19638" t="inlineStr">
        <is>
          <t>VÄSTRA GÖTALANDS LÄN</t>
        </is>
      </c>
      <c r="E19638" t="inlineStr">
        <is>
          <t>VÅRGÅRDA</t>
        </is>
      </c>
      <c r="G19638" t="n">
        <v>4.1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41716-2024</t>
        </is>
      </c>
      <c r="B19639" s="1" t="n">
        <v>45560</v>
      </c>
      <c r="C19639" s="1" t="n">
        <v>45586</v>
      </c>
      <c r="D19639" t="inlineStr">
        <is>
          <t>VÄSTRA GÖTALANDS LÄN</t>
        </is>
      </c>
      <c r="E19639" t="inlineStr">
        <is>
          <t>MUNKEDAL</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41722-2024</t>
        </is>
      </c>
      <c r="B19640" s="1" t="n">
        <v>45560</v>
      </c>
      <c r="C19640" s="1" t="n">
        <v>45586</v>
      </c>
      <c r="D19640" t="inlineStr">
        <is>
          <t>VÄSTRA GÖTALANDS LÄN</t>
        </is>
      </c>
      <c r="E19640" t="inlineStr">
        <is>
          <t>SKÖVDE</t>
        </is>
      </c>
      <c r="G19640" t="n">
        <v>10.1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41726-2024</t>
        </is>
      </c>
      <c r="B19641" s="1" t="n">
        <v>45560</v>
      </c>
      <c r="C19641" s="1" t="n">
        <v>45586</v>
      </c>
      <c r="D19641" t="inlineStr">
        <is>
          <t>VÄSTRA GÖTALANDS LÄN</t>
        </is>
      </c>
      <c r="E19641" t="inlineStr">
        <is>
          <t>ÅMÅL</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41799-2024</t>
        </is>
      </c>
      <c r="B19642" s="1" t="n">
        <v>45561</v>
      </c>
      <c r="C19642" s="1" t="n">
        <v>45586</v>
      </c>
      <c r="D19642" t="inlineStr">
        <is>
          <t>VÄSTRA GÖTALANDS LÄN</t>
        </is>
      </c>
      <c r="E19642" t="inlineStr">
        <is>
          <t>DALS-ED</t>
        </is>
      </c>
      <c r="G19642" t="n">
        <v>2.9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41740-2024</t>
        </is>
      </c>
      <c r="B19643" s="1" t="n">
        <v>45561</v>
      </c>
      <c r="C19643" s="1" t="n">
        <v>45586</v>
      </c>
      <c r="D19643" t="inlineStr">
        <is>
          <t>VÄSTRA GÖTALANDS LÄN</t>
        </is>
      </c>
      <c r="E19643" t="inlineStr">
        <is>
          <t>ULRICEHAMN</t>
        </is>
      </c>
      <c r="G19643" t="n">
        <v>2.6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41804-2024</t>
        </is>
      </c>
      <c r="B19644" s="1" t="n">
        <v>45561</v>
      </c>
      <c r="C19644" s="1" t="n">
        <v>45586</v>
      </c>
      <c r="D19644" t="inlineStr">
        <is>
          <t>VÄSTRA GÖTALANDS LÄN</t>
        </is>
      </c>
      <c r="E19644" t="inlineStr">
        <is>
          <t>DALS-ED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41910-2024</t>
        </is>
      </c>
      <c r="B19645" s="1" t="n">
        <v>45561</v>
      </c>
      <c r="C19645" s="1" t="n">
        <v>45586</v>
      </c>
      <c r="D19645" t="inlineStr">
        <is>
          <t>VÄSTRA GÖTALANDS LÄN</t>
        </is>
      </c>
      <c r="E19645" t="inlineStr">
        <is>
          <t>BOLLEBYGD</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41923-2024</t>
        </is>
      </c>
      <c r="B19646" s="1" t="n">
        <v>45561</v>
      </c>
      <c r="C19646" s="1" t="n">
        <v>45586</v>
      </c>
      <c r="D19646" t="inlineStr">
        <is>
          <t>VÄSTRA GÖTALANDS LÄN</t>
        </is>
      </c>
      <c r="E19646" t="inlineStr">
        <is>
          <t>KARLSBORG</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41931-2024</t>
        </is>
      </c>
      <c r="B19647" s="1" t="n">
        <v>45561</v>
      </c>
      <c r="C19647" s="1" t="n">
        <v>45586</v>
      </c>
      <c r="D19647" t="inlineStr">
        <is>
          <t>VÄSTRA GÖTALANDS LÄN</t>
        </is>
      </c>
      <c r="E19647" t="inlineStr">
        <is>
          <t>TIBRO</t>
        </is>
      </c>
      <c r="G19647" t="n">
        <v>5.1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41943-2024</t>
        </is>
      </c>
      <c r="B19648" s="1" t="n">
        <v>45561</v>
      </c>
      <c r="C19648" s="1" t="n">
        <v>45586</v>
      </c>
      <c r="D19648" t="inlineStr">
        <is>
          <t>VÄSTRA GÖTALANDS LÄN</t>
        </is>
      </c>
      <c r="E19648" t="inlineStr">
        <is>
          <t>KARLSBORG</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45586</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42003-2024</t>
        </is>
      </c>
      <c r="B19650" s="1" t="n">
        <v>45561</v>
      </c>
      <c r="C19650" s="1" t="n">
        <v>45586</v>
      </c>
      <c r="D19650" t="inlineStr">
        <is>
          <t>VÄSTRA GÖTALANDS LÄN</t>
        </is>
      </c>
      <c r="E19650" t="inlineStr">
        <is>
          <t>MARK</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42028-2024</t>
        </is>
      </c>
      <c r="B19651" s="1" t="n">
        <v>45561</v>
      </c>
      <c r="C19651" s="1" t="n">
        <v>45586</v>
      </c>
      <c r="D19651" t="inlineStr">
        <is>
          <t>VÄSTRA GÖTALANDS LÄN</t>
        </is>
      </c>
      <c r="E19651" t="inlineStr">
        <is>
          <t>SVENLJUNGA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41908-2024</t>
        </is>
      </c>
      <c r="B19652" s="1" t="n">
        <v>45561</v>
      </c>
      <c r="C19652" s="1" t="n">
        <v>45586</v>
      </c>
      <c r="D19652" t="inlineStr">
        <is>
          <t>VÄSTRA GÖTALANDS LÄN</t>
        </is>
      </c>
      <c r="E19652" t="inlineStr">
        <is>
          <t>BOLLEBYGD</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41912-2024</t>
        </is>
      </c>
      <c r="B19653" s="1" t="n">
        <v>45561</v>
      </c>
      <c r="C19653" s="1" t="n">
        <v>45586</v>
      </c>
      <c r="D19653" t="inlineStr">
        <is>
          <t>VÄSTRA GÖTALANDS LÄN</t>
        </is>
      </c>
      <c r="E19653" t="inlineStr">
        <is>
          <t>MARK</t>
        </is>
      </c>
      <c r="G19653" t="n">
        <v>2.7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41937-2024</t>
        </is>
      </c>
      <c r="B19654" s="1" t="n">
        <v>45561</v>
      </c>
      <c r="C19654" s="1" t="n">
        <v>45586</v>
      </c>
      <c r="D19654" t="inlineStr">
        <is>
          <t>VÄSTRA GÖTALANDS LÄN</t>
        </is>
      </c>
      <c r="E19654" t="inlineStr">
        <is>
          <t>KARLSBORG</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41981-2024</t>
        </is>
      </c>
      <c r="B19655" s="1" t="n">
        <v>45561</v>
      </c>
      <c r="C19655" s="1" t="n">
        <v>45586</v>
      </c>
      <c r="D19655" t="inlineStr">
        <is>
          <t>VÄSTRA GÖTALANDS LÄN</t>
        </is>
      </c>
      <c r="E19655" t="inlineStr">
        <is>
          <t>BORÅS</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41909-2024</t>
        </is>
      </c>
      <c r="B19656" s="1" t="n">
        <v>45561</v>
      </c>
      <c r="C19656" s="1" t="n">
        <v>45586</v>
      </c>
      <c r="D19656" t="inlineStr">
        <is>
          <t>VÄSTRA GÖTALANDS LÄN</t>
        </is>
      </c>
      <c r="E19656" t="inlineStr">
        <is>
          <t>MUNKEDAL</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41934-2024</t>
        </is>
      </c>
      <c r="B19657" s="1" t="n">
        <v>45561</v>
      </c>
      <c r="C19657" s="1" t="n">
        <v>45586</v>
      </c>
      <c r="D19657" t="inlineStr">
        <is>
          <t>VÄSTRA GÖTALANDS LÄN</t>
        </is>
      </c>
      <c r="E19657" t="inlineStr">
        <is>
          <t>FÄRGELANDA</t>
        </is>
      </c>
      <c r="G19657" t="n">
        <v>1.8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41978-2024</t>
        </is>
      </c>
      <c r="B19658" s="1" t="n">
        <v>45561</v>
      </c>
      <c r="C19658" s="1" t="n">
        <v>45586</v>
      </c>
      <c r="D19658" t="inlineStr">
        <is>
          <t>VÄSTRA GÖTALANDS LÄN</t>
        </is>
      </c>
      <c r="E19658" t="inlineStr">
        <is>
          <t>VÅRGÅRDA</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42038-2024</t>
        </is>
      </c>
      <c r="B19659" s="1" t="n">
        <v>45561</v>
      </c>
      <c r="C19659" s="1" t="n">
        <v>45586</v>
      </c>
      <c r="D19659" t="inlineStr">
        <is>
          <t>VÄSTRA GÖTALANDS LÄN</t>
        </is>
      </c>
      <c r="E19659" t="inlineStr">
        <is>
          <t>VARA</t>
        </is>
      </c>
      <c r="G19659" t="n">
        <v>7.2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45586</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45586</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45586</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42151-2024</t>
        </is>
      </c>
      <c r="B19663" s="1" t="n">
        <v>45562</v>
      </c>
      <c r="C19663" s="1" t="n">
        <v>45586</v>
      </c>
      <c r="D19663" t="inlineStr">
        <is>
          <t>VÄSTRA GÖTALANDS LÄN</t>
        </is>
      </c>
      <c r="E19663" t="inlineStr">
        <is>
          <t>LERUM</t>
        </is>
      </c>
      <c r="G19663" t="n">
        <v>2.4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42100-2024</t>
        </is>
      </c>
      <c r="B19664" s="1" t="n">
        <v>45562</v>
      </c>
      <c r="C19664" s="1" t="n">
        <v>45586</v>
      </c>
      <c r="D19664" t="inlineStr">
        <is>
          <t>VÄSTRA GÖTALANDS LÄN</t>
        </is>
      </c>
      <c r="E19664" t="inlineStr">
        <is>
          <t>KARLSBORG</t>
        </is>
      </c>
      <c r="F19664" t="inlineStr">
        <is>
          <t>Kyrkan</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42239-2024</t>
        </is>
      </c>
      <c r="B19665" s="1" t="n">
        <v>45562</v>
      </c>
      <c r="C19665" s="1" t="n">
        <v>45586</v>
      </c>
      <c r="D19665" t="inlineStr">
        <is>
          <t>VÄSTRA GÖTALANDS LÄN</t>
        </is>
      </c>
      <c r="E19665" t="inlineStr">
        <is>
          <t>STRÖMSTAD</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42174-2024</t>
        </is>
      </c>
      <c r="B19666" s="1" t="n">
        <v>45562</v>
      </c>
      <c r="C19666" s="1" t="n">
        <v>45586</v>
      </c>
      <c r="D19666" t="inlineStr">
        <is>
          <t>VÄSTRA GÖTALANDS LÄN</t>
        </is>
      </c>
      <c r="E19666" t="inlineStr">
        <is>
          <t>SVENLJUNGA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45586</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45586</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42325-2024</t>
        </is>
      </c>
      <c r="B19669" s="1" t="n">
        <v>45562</v>
      </c>
      <c r="C19669" s="1" t="n">
        <v>45586</v>
      </c>
      <c r="D19669" t="inlineStr">
        <is>
          <t>VÄSTRA GÖTALANDS LÄN</t>
        </is>
      </c>
      <c r="E19669" t="inlineStr">
        <is>
          <t>UDDEVALLA</t>
        </is>
      </c>
      <c r="G19669" t="n">
        <v>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42362-2024</t>
        </is>
      </c>
      <c r="B19670" s="1" t="n">
        <v>45562</v>
      </c>
      <c r="C19670" s="1" t="n">
        <v>45586</v>
      </c>
      <c r="D19670" t="inlineStr">
        <is>
          <t>VÄSTRA GÖTALANDS LÄN</t>
        </is>
      </c>
      <c r="E19670" t="inlineStr">
        <is>
          <t>BENGTSFORS</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42298-2024</t>
        </is>
      </c>
      <c r="B19671" s="1" t="n">
        <v>45562</v>
      </c>
      <c r="C19671" s="1" t="n">
        <v>45586</v>
      </c>
      <c r="D19671" t="inlineStr">
        <is>
          <t>VÄSTRA GÖTALANDS LÄN</t>
        </is>
      </c>
      <c r="E19671" t="inlineStr">
        <is>
          <t>VÅRGÅRDA</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42358-2024</t>
        </is>
      </c>
      <c r="B19672" s="1" t="n">
        <v>45562</v>
      </c>
      <c r="C19672" s="1" t="n">
        <v>45586</v>
      </c>
      <c r="D19672" t="inlineStr">
        <is>
          <t>VÄSTRA GÖTALANDS LÄN</t>
        </is>
      </c>
      <c r="E19672" t="inlineStr">
        <is>
          <t>HERRLJUNGA</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42396-2024</t>
        </is>
      </c>
      <c r="B19673" s="1" t="n">
        <v>45565</v>
      </c>
      <c r="C19673" s="1" t="n">
        <v>45586</v>
      </c>
      <c r="D19673" t="inlineStr">
        <is>
          <t>VÄSTRA GÖTALANDS LÄN</t>
        </is>
      </c>
      <c r="E19673" t="inlineStr">
        <is>
          <t>BENGTSFORS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42445-2024</t>
        </is>
      </c>
      <c r="B19674" s="1" t="n">
        <v>45565</v>
      </c>
      <c r="C19674" s="1" t="n">
        <v>45586</v>
      </c>
      <c r="D19674" t="inlineStr">
        <is>
          <t>VÄSTRA GÖTALANDS LÄN</t>
        </is>
      </c>
      <c r="E19674" t="inlineStr">
        <is>
          <t>ULRICEHAMN</t>
        </is>
      </c>
      <c r="G19674" t="n">
        <v>0.8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42440-2024</t>
        </is>
      </c>
      <c r="B19675" s="1" t="n">
        <v>45565</v>
      </c>
      <c r="C19675" s="1" t="n">
        <v>45586</v>
      </c>
      <c r="D19675" t="inlineStr">
        <is>
          <t>VÄSTRA GÖTALANDS LÄN</t>
        </is>
      </c>
      <c r="E19675" t="inlineStr">
        <is>
          <t>DALS-ED</t>
        </is>
      </c>
      <c r="G19675" t="n">
        <v>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42456-2024</t>
        </is>
      </c>
      <c r="B19676" s="1" t="n">
        <v>45565</v>
      </c>
      <c r="C19676" s="1" t="n">
        <v>45586</v>
      </c>
      <c r="D19676" t="inlineStr">
        <is>
          <t>VÄSTRA GÖTALANDS LÄN</t>
        </is>
      </c>
      <c r="E19676" t="inlineStr">
        <is>
          <t>TROLLHÄTTAN</t>
        </is>
      </c>
      <c r="G19676" t="n">
        <v>0.5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42597-2024</t>
        </is>
      </c>
      <c r="B19677" s="1" t="n">
        <v>45565</v>
      </c>
      <c r="C19677" s="1" t="n">
        <v>45586</v>
      </c>
      <c r="D19677" t="inlineStr">
        <is>
          <t>VÄSTRA GÖTALANDS LÄN</t>
        </is>
      </c>
      <c r="E19677" t="inlineStr">
        <is>
          <t>UDDEVALLA</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42605-2024</t>
        </is>
      </c>
      <c r="B19678" s="1" t="n">
        <v>45565</v>
      </c>
      <c r="C19678" s="1" t="n">
        <v>45586</v>
      </c>
      <c r="D19678" t="inlineStr">
        <is>
          <t>VÄSTRA GÖTALANDS LÄN</t>
        </is>
      </c>
      <c r="E19678" t="inlineStr">
        <is>
          <t>VÄNERSBORG</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42515-2024</t>
        </is>
      </c>
      <c r="B19679" s="1" t="n">
        <v>45565</v>
      </c>
      <c r="C19679" s="1" t="n">
        <v>45586</v>
      </c>
      <c r="D19679" t="inlineStr">
        <is>
          <t>VÄSTRA GÖTALANDS LÄN</t>
        </is>
      </c>
      <c r="E19679" t="inlineStr">
        <is>
          <t>ALE</t>
        </is>
      </c>
      <c r="G19679" t="n">
        <v>9.1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42552-2024</t>
        </is>
      </c>
      <c r="B19680" s="1" t="n">
        <v>45565</v>
      </c>
      <c r="C19680" s="1" t="n">
        <v>45586</v>
      </c>
      <c r="D19680" t="inlineStr">
        <is>
          <t>VÄSTRA GÖTALANDS LÄN</t>
        </is>
      </c>
      <c r="E19680" t="inlineStr">
        <is>
          <t>VÅRGÅRDA</t>
        </is>
      </c>
      <c r="G19680" t="n">
        <v>4.6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42562-2024</t>
        </is>
      </c>
      <c r="B19681" s="1" t="n">
        <v>45565</v>
      </c>
      <c r="C19681" s="1" t="n">
        <v>45586</v>
      </c>
      <c r="D19681" t="inlineStr">
        <is>
          <t>VÄSTRA GÖTALANDS LÄN</t>
        </is>
      </c>
      <c r="E19681" t="inlineStr">
        <is>
          <t>FALKÖPING</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42522-2024</t>
        </is>
      </c>
      <c r="B19682" s="1" t="n">
        <v>45565</v>
      </c>
      <c r="C19682" s="1" t="n">
        <v>45586</v>
      </c>
      <c r="D19682" t="inlineStr">
        <is>
          <t>VÄSTRA GÖTALANDS LÄN</t>
        </is>
      </c>
      <c r="E19682" t="inlineStr">
        <is>
          <t>HERRLJUNGA</t>
        </is>
      </c>
      <c r="G19682" t="n">
        <v>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42526-2024</t>
        </is>
      </c>
      <c r="B19683" s="1" t="n">
        <v>45565</v>
      </c>
      <c r="C19683" s="1" t="n">
        <v>45586</v>
      </c>
      <c r="D19683" t="inlineStr">
        <is>
          <t>VÄSTRA GÖTALANDS LÄN</t>
        </is>
      </c>
      <c r="E19683" t="inlineStr">
        <is>
          <t>LERUM</t>
        </is>
      </c>
      <c r="F19683" t="inlineStr">
        <is>
          <t>Kyrkan</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42530-2024</t>
        </is>
      </c>
      <c r="B19684" s="1" t="n">
        <v>45565</v>
      </c>
      <c r="C19684" s="1" t="n">
        <v>45586</v>
      </c>
      <c r="D19684" t="inlineStr">
        <is>
          <t>VÄSTRA GÖTALANDS LÄN</t>
        </is>
      </c>
      <c r="E19684" t="inlineStr">
        <is>
          <t>MARK</t>
        </is>
      </c>
      <c r="G19684" t="n">
        <v>0.8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42542-2024</t>
        </is>
      </c>
      <c r="B19685" s="1" t="n">
        <v>45565</v>
      </c>
      <c r="C19685" s="1" t="n">
        <v>45586</v>
      </c>
      <c r="D19685" t="inlineStr">
        <is>
          <t>VÄSTRA GÖTALANDS LÄN</t>
        </is>
      </c>
      <c r="E19685" t="inlineStr">
        <is>
          <t>MARK</t>
        </is>
      </c>
      <c r="G19685" t="n">
        <v>0.6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42598-2024</t>
        </is>
      </c>
      <c r="B19686" s="1" t="n">
        <v>45565</v>
      </c>
      <c r="C19686" s="1" t="n">
        <v>45586</v>
      </c>
      <c r="D19686" t="inlineStr">
        <is>
          <t>VÄSTRA GÖTALANDS LÄN</t>
        </is>
      </c>
      <c r="E19686" t="inlineStr">
        <is>
          <t>KARLSBORG</t>
        </is>
      </c>
      <c r="G19686" t="n">
        <v>8.9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42602-2024</t>
        </is>
      </c>
      <c r="B19687" s="1" t="n">
        <v>45565</v>
      </c>
      <c r="C19687" s="1" t="n">
        <v>45586</v>
      </c>
      <c r="D19687" t="inlineStr">
        <is>
          <t>VÄSTRA GÖTALANDS LÄN</t>
        </is>
      </c>
      <c r="E19687" t="inlineStr">
        <is>
          <t>VÄNERSBORG</t>
        </is>
      </c>
      <c r="G19687" t="n">
        <v>5.5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42434-2024</t>
        </is>
      </c>
      <c r="B19688" s="1" t="n">
        <v>45565</v>
      </c>
      <c r="C19688" s="1" t="n">
        <v>45586</v>
      </c>
      <c r="D19688" t="inlineStr">
        <is>
          <t>VÄSTRA GÖTALANDS LÄN</t>
        </is>
      </c>
      <c r="E19688" t="inlineStr">
        <is>
          <t>DALS-ED</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42438-2024</t>
        </is>
      </c>
      <c r="B19689" s="1" t="n">
        <v>45565</v>
      </c>
      <c r="C19689" s="1" t="n">
        <v>45586</v>
      </c>
      <c r="D19689" t="inlineStr">
        <is>
          <t>VÄSTRA GÖTALANDS LÄN</t>
        </is>
      </c>
      <c r="E19689" t="inlineStr">
        <is>
          <t>ULRICEHAMN</t>
        </is>
      </c>
      <c r="G19689" t="n">
        <v>1.8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42470-2024</t>
        </is>
      </c>
      <c r="B19690" s="1" t="n">
        <v>45565</v>
      </c>
      <c r="C19690" s="1" t="n">
        <v>45586</v>
      </c>
      <c r="D19690" t="inlineStr">
        <is>
          <t>VÄSTRA GÖTALANDS LÄN</t>
        </is>
      </c>
      <c r="E19690" t="inlineStr">
        <is>
          <t>TROLLHÄTTAN</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42571-2024</t>
        </is>
      </c>
      <c r="B19691" s="1" t="n">
        <v>45565</v>
      </c>
      <c r="C19691" s="1" t="n">
        <v>45586</v>
      </c>
      <c r="D19691" t="inlineStr">
        <is>
          <t>VÄSTRA GÖTALANDS LÄN</t>
        </is>
      </c>
      <c r="E19691" t="inlineStr">
        <is>
          <t>TANUM</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42595-2024</t>
        </is>
      </c>
      <c r="B19692" s="1" t="n">
        <v>45565</v>
      </c>
      <c r="C19692" s="1" t="n">
        <v>45586</v>
      </c>
      <c r="D19692" t="inlineStr">
        <is>
          <t>VÄSTRA GÖTALANDS LÄN</t>
        </is>
      </c>
      <c r="E19692" t="inlineStr">
        <is>
          <t>TROLLHÄTTAN</t>
        </is>
      </c>
      <c r="G19692" t="n">
        <v>10.2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42611-2024</t>
        </is>
      </c>
      <c r="B19693" s="1" t="n">
        <v>45565</v>
      </c>
      <c r="C19693" s="1" t="n">
        <v>45586</v>
      </c>
      <c r="D19693" t="inlineStr">
        <is>
          <t>VÄSTRA GÖTALANDS LÄN</t>
        </is>
      </c>
      <c r="E19693" t="inlineStr">
        <is>
          <t>SVENLJUNGA</t>
        </is>
      </c>
      <c r="G19693" t="n">
        <v>5.2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42638-2024</t>
        </is>
      </c>
      <c r="B19694" s="1" t="n">
        <v>45565</v>
      </c>
      <c r="C19694" s="1" t="n">
        <v>45586</v>
      </c>
      <c r="D19694" t="inlineStr">
        <is>
          <t>VÄSTRA GÖTALANDS LÄN</t>
        </is>
      </c>
      <c r="E19694" t="inlineStr">
        <is>
          <t>BENGTSFORS</t>
        </is>
      </c>
      <c r="G19694" t="n">
        <v>4.4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42695-2024</t>
        </is>
      </c>
      <c r="B19695" s="1" t="n">
        <v>45566</v>
      </c>
      <c r="C19695" s="1" t="n">
        <v>45586</v>
      </c>
      <c r="D19695" t="inlineStr">
        <is>
          <t>VÄSTRA GÖTALANDS LÄN</t>
        </is>
      </c>
      <c r="E19695" t="inlineStr">
        <is>
          <t>BOLLEBYGD</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42660-2024</t>
        </is>
      </c>
      <c r="B19696" s="1" t="n">
        <v>45566</v>
      </c>
      <c r="C19696" s="1" t="n">
        <v>45586</v>
      </c>
      <c r="D19696" t="inlineStr">
        <is>
          <t>VÄSTRA GÖTALANDS LÄN</t>
        </is>
      </c>
      <c r="E19696" t="inlineStr">
        <is>
          <t>ALE</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42698-2024</t>
        </is>
      </c>
      <c r="B19697" s="1" t="n">
        <v>45566</v>
      </c>
      <c r="C19697" s="1" t="n">
        <v>45586</v>
      </c>
      <c r="D19697" t="inlineStr">
        <is>
          <t>VÄSTRA GÖTALANDS LÄN</t>
        </is>
      </c>
      <c r="E19697" t="inlineStr">
        <is>
          <t>VÄNERSBORG</t>
        </is>
      </c>
      <c r="G19697" t="n">
        <v>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42724-2024</t>
        </is>
      </c>
      <c r="B19698" s="1" t="n">
        <v>45566</v>
      </c>
      <c r="C19698" s="1" t="n">
        <v>45586</v>
      </c>
      <c r="D19698" t="inlineStr">
        <is>
          <t>VÄSTRA GÖTALANDS LÄN</t>
        </is>
      </c>
      <c r="E19698" t="inlineStr">
        <is>
          <t>KARLSBORG</t>
        </is>
      </c>
      <c r="G19698" t="n">
        <v>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42755-2024</t>
        </is>
      </c>
      <c r="B19699" s="1" t="n">
        <v>45566</v>
      </c>
      <c r="C19699" s="1" t="n">
        <v>45586</v>
      </c>
      <c r="D19699" t="inlineStr">
        <is>
          <t>VÄSTRA GÖTALANDS LÄN</t>
        </is>
      </c>
      <c r="E19699" t="inlineStr">
        <is>
          <t>BENGTSFORS</t>
        </is>
      </c>
      <c r="G19699" t="n">
        <v>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42760-2024</t>
        </is>
      </c>
      <c r="B19700" s="1" t="n">
        <v>45566</v>
      </c>
      <c r="C19700" s="1" t="n">
        <v>45586</v>
      </c>
      <c r="D19700" t="inlineStr">
        <is>
          <t>VÄSTRA GÖTALANDS LÄN</t>
        </is>
      </c>
      <c r="E19700" t="inlineStr">
        <is>
          <t>BORÅS</t>
        </is>
      </c>
      <c r="G19700" t="n">
        <v>6.2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42751-2024</t>
        </is>
      </c>
      <c r="B19701" s="1" t="n">
        <v>45566</v>
      </c>
      <c r="C19701" s="1" t="n">
        <v>45586</v>
      </c>
      <c r="D19701" t="inlineStr">
        <is>
          <t>VÄSTRA GÖTALANDS LÄN</t>
        </is>
      </c>
      <c r="E19701" t="inlineStr">
        <is>
          <t>BENGTSFORS</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42757-2024</t>
        </is>
      </c>
      <c r="B19702" s="1" t="n">
        <v>45566</v>
      </c>
      <c r="C19702" s="1" t="n">
        <v>45586</v>
      </c>
      <c r="D19702" t="inlineStr">
        <is>
          <t>VÄSTRA GÖTALANDS LÄN</t>
        </is>
      </c>
      <c r="E19702" t="inlineStr">
        <is>
          <t>KARLSBORG</t>
        </is>
      </c>
      <c r="G19702" t="n">
        <v>0.3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42761-2024</t>
        </is>
      </c>
      <c r="B19703" s="1" t="n">
        <v>45566</v>
      </c>
      <c r="C19703" s="1" t="n">
        <v>45586</v>
      </c>
      <c r="D19703" t="inlineStr">
        <is>
          <t>VÄSTRA GÖTALANDS LÄN</t>
        </is>
      </c>
      <c r="E19703" t="inlineStr">
        <is>
          <t>ULRICEHAMN</t>
        </is>
      </c>
      <c r="F19703" t="inlineStr">
        <is>
          <t>Sveaskog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42769-2024</t>
        </is>
      </c>
      <c r="B19704" s="1" t="n">
        <v>45566</v>
      </c>
      <c r="C19704" s="1" t="n">
        <v>45586</v>
      </c>
      <c r="D19704" t="inlineStr">
        <is>
          <t>VÄSTRA GÖTALANDS LÄN</t>
        </is>
      </c>
      <c r="E19704" t="inlineStr">
        <is>
          <t>ULRICEHAMN</t>
        </is>
      </c>
      <c r="F19704" t="inlineStr">
        <is>
          <t>Sveaskog</t>
        </is>
      </c>
      <c r="G19704" t="n">
        <v>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42777-2024</t>
        </is>
      </c>
      <c r="B19705" s="1" t="n">
        <v>45566</v>
      </c>
      <c r="C19705" s="1" t="n">
        <v>45586</v>
      </c>
      <c r="D19705" t="inlineStr">
        <is>
          <t>VÄSTRA GÖTALANDS LÄN</t>
        </is>
      </c>
      <c r="E19705" t="inlineStr">
        <is>
          <t>DALS-ED</t>
        </is>
      </c>
      <c r="G19705" t="n">
        <v>9.4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42710-2024</t>
        </is>
      </c>
      <c r="B19706" s="1" t="n">
        <v>45566</v>
      </c>
      <c r="C19706" s="1" t="n">
        <v>45586</v>
      </c>
      <c r="D19706" t="inlineStr">
        <is>
          <t>VÄSTRA GÖTALANDS LÄN</t>
        </is>
      </c>
      <c r="E19706" t="inlineStr">
        <is>
          <t>KARLSBORG</t>
        </is>
      </c>
      <c r="G19706" t="n">
        <v>5.9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42753-2024</t>
        </is>
      </c>
      <c r="B19707" s="1" t="n">
        <v>45566</v>
      </c>
      <c r="C19707" s="1" t="n">
        <v>45586</v>
      </c>
      <c r="D19707" t="inlineStr">
        <is>
          <t>VÄSTRA GÖTALANDS LÄN</t>
        </is>
      </c>
      <c r="E19707" t="inlineStr">
        <is>
          <t>SKARA</t>
        </is>
      </c>
      <c r="F19707" t="inlineStr">
        <is>
          <t>Sveaskog</t>
        </is>
      </c>
      <c r="G19707" t="n">
        <v>4.8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42814-2024</t>
        </is>
      </c>
      <c r="B19708" s="1" t="n">
        <v>45566</v>
      </c>
      <c r="C19708" s="1" t="n">
        <v>45586</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42795-2024</t>
        </is>
      </c>
      <c r="B19709" s="1" t="n">
        <v>45566</v>
      </c>
      <c r="C19709" s="1" t="n">
        <v>45586</v>
      </c>
      <c r="D19709" t="inlineStr">
        <is>
          <t>VÄSTRA GÖTALANDS LÄN</t>
        </is>
      </c>
      <c r="E19709" t="inlineStr">
        <is>
          <t>TANUM</t>
        </is>
      </c>
      <c r="G19709" t="n">
        <v>3.9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42824-2024</t>
        </is>
      </c>
      <c r="B19710" s="1" t="n">
        <v>45566</v>
      </c>
      <c r="C19710" s="1" t="n">
        <v>45586</v>
      </c>
      <c r="D19710" t="inlineStr">
        <is>
          <t>VÄSTRA GÖTALANDS LÄN</t>
        </is>
      </c>
      <c r="E19710" t="inlineStr">
        <is>
          <t>HERRLJUNGA</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42832-2024</t>
        </is>
      </c>
      <c r="B19711" s="1" t="n">
        <v>45566</v>
      </c>
      <c r="C19711" s="1" t="n">
        <v>45586</v>
      </c>
      <c r="D19711" t="inlineStr">
        <is>
          <t>VÄSTRA GÖTALANDS LÄN</t>
        </is>
      </c>
      <c r="E19711" t="inlineStr">
        <is>
          <t>TRANEMO</t>
        </is>
      </c>
      <c r="G19711" t="n">
        <v>5.1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45586</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42898-2024</t>
        </is>
      </c>
      <c r="B19713" s="1" t="n">
        <v>45566</v>
      </c>
      <c r="C19713" s="1" t="n">
        <v>45586</v>
      </c>
      <c r="D19713" t="inlineStr">
        <is>
          <t>VÄSTRA GÖTALANDS LÄN</t>
        </is>
      </c>
      <c r="E19713" t="inlineStr">
        <is>
          <t>SVENLJUNGA</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42906-2024</t>
        </is>
      </c>
      <c r="B19714" s="1" t="n">
        <v>45566</v>
      </c>
      <c r="C19714" s="1" t="n">
        <v>45586</v>
      </c>
      <c r="D19714" t="inlineStr">
        <is>
          <t>VÄSTRA GÖTALANDS LÄN</t>
        </is>
      </c>
      <c r="E19714" t="inlineStr">
        <is>
          <t>BORÅS</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42901-2024</t>
        </is>
      </c>
      <c r="B19715" s="1" t="n">
        <v>45566</v>
      </c>
      <c r="C19715" s="1" t="n">
        <v>45586</v>
      </c>
      <c r="D19715" t="inlineStr">
        <is>
          <t>VÄSTRA GÖTALANDS LÄN</t>
        </is>
      </c>
      <c r="E19715" t="inlineStr">
        <is>
          <t>SVENLJUNGA</t>
        </is>
      </c>
      <c r="G19715" t="n">
        <v>5.4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42663-2024</t>
        </is>
      </c>
      <c r="B19716" s="1" t="n">
        <v>45566</v>
      </c>
      <c r="C19716" s="1" t="n">
        <v>45586</v>
      </c>
      <c r="D19716" t="inlineStr">
        <is>
          <t>VÄSTRA GÖTALANDS LÄN</t>
        </is>
      </c>
      <c r="E19716" t="inlineStr">
        <is>
          <t>KARLSBORG</t>
        </is>
      </c>
      <c r="G19716" t="n">
        <v>3.4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42671-2024</t>
        </is>
      </c>
      <c r="B19717" s="1" t="n">
        <v>45566</v>
      </c>
      <c r="C19717" s="1" t="n">
        <v>45586</v>
      </c>
      <c r="D19717" t="inlineStr">
        <is>
          <t>VÄSTRA GÖTALANDS LÄN</t>
        </is>
      </c>
      <c r="E19717" t="inlineStr">
        <is>
          <t>FÄRGELANDA</t>
        </is>
      </c>
      <c r="G19717" t="n">
        <v>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42676-2024</t>
        </is>
      </c>
      <c r="B19718" s="1" t="n">
        <v>45566</v>
      </c>
      <c r="C19718" s="1" t="n">
        <v>45586</v>
      </c>
      <c r="D19718" t="inlineStr">
        <is>
          <t>VÄSTRA GÖTALANDS LÄN</t>
        </is>
      </c>
      <c r="E19718" t="inlineStr">
        <is>
          <t>DALS-ED</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42680-2024</t>
        </is>
      </c>
      <c r="B19719" s="1" t="n">
        <v>45566</v>
      </c>
      <c r="C19719" s="1" t="n">
        <v>45586</v>
      </c>
      <c r="D19719" t="inlineStr">
        <is>
          <t>VÄSTRA GÖTALANDS LÄN</t>
        </is>
      </c>
      <c r="E19719" t="inlineStr">
        <is>
          <t>TRANEMO</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42752-2024</t>
        </is>
      </c>
      <c r="B19720" s="1" t="n">
        <v>45566</v>
      </c>
      <c r="C19720" s="1" t="n">
        <v>45586</v>
      </c>
      <c r="D19720" t="inlineStr">
        <is>
          <t>VÄSTRA GÖTALANDS LÄN</t>
        </is>
      </c>
      <c r="E19720" t="inlineStr">
        <is>
          <t>SKARA</t>
        </is>
      </c>
      <c r="F19720" t="inlineStr">
        <is>
          <t>Sveaskog</t>
        </is>
      </c>
      <c r="G19720" t="n">
        <v>6.6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42778-2024</t>
        </is>
      </c>
      <c r="B19721" s="1" t="n">
        <v>45566</v>
      </c>
      <c r="C19721" s="1" t="n">
        <v>45586</v>
      </c>
      <c r="D19721" t="inlineStr">
        <is>
          <t>VÄSTRA GÖTALANDS LÄN</t>
        </is>
      </c>
      <c r="E19721" t="inlineStr">
        <is>
          <t>KARLSBORG</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42899-2024</t>
        </is>
      </c>
      <c r="B19722" s="1" t="n">
        <v>45566</v>
      </c>
      <c r="C19722" s="1" t="n">
        <v>45586</v>
      </c>
      <c r="D19722" t="inlineStr">
        <is>
          <t>VÄSTRA GÖTALANDS LÄN</t>
        </is>
      </c>
      <c r="E19722" t="inlineStr">
        <is>
          <t>SVENLJUNGA</t>
        </is>
      </c>
      <c r="G19722" t="n">
        <v>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43022-2024</t>
        </is>
      </c>
      <c r="B19723" s="1" t="n">
        <v>45567</v>
      </c>
      <c r="C19723" s="1" t="n">
        <v>45586</v>
      </c>
      <c r="D19723" t="inlineStr">
        <is>
          <t>VÄSTRA GÖTALANDS LÄN</t>
        </is>
      </c>
      <c r="E19723" t="inlineStr">
        <is>
          <t>TÖREBODA</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42923-2024</t>
        </is>
      </c>
      <c r="B19724" s="1" t="n">
        <v>45567</v>
      </c>
      <c r="C19724" s="1" t="n">
        <v>45586</v>
      </c>
      <c r="D19724" t="inlineStr">
        <is>
          <t>VÄSTRA GÖTALANDS LÄN</t>
        </is>
      </c>
      <c r="E19724" t="inlineStr">
        <is>
          <t>SVENLJUNGA</t>
        </is>
      </c>
      <c r="G19724" t="n">
        <v>2.9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43017-2024</t>
        </is>
      </c>
      <c r="B19725" s="1" t="n">
        <v>45567</v>
      </c>
      <c r="C19725" s="1" t="n">
        <v>45586</v>
      </c>
      <c r="D19725" t="inlineStr">
        <is>
          <t>VÄSTRA GÖTALANDS LÄN</t>
        </is>
      </c>
      <c r="E19725" t="inlineStr">
        <is>
          <t>MELLERUD</t>
        </is>
      </c>
      <c r="G19725" t="n">
        <v>2.4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43086-2024</t>
        </is>
      </c>
      <c r="B19726" s="1" t="n">
        <v>45567</v>
      </c>
      <c r="C19726" s="1" t="n">
        <v>45586</v>
      </c>
      <c r="D19726" t="inlineStr">
        <is>
          <t>VÄSTRA GÖTALANDS LÄN</t>
        </is>
      </c>
      <c r="E19726" t="inlineStr">
        <is>
          <t>MARK</t>
        </is>
      </c>
      <c r="G19726" t="n">
        <v>0.8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43063-2024</t>
        </is>
      </c>
      <c r="B19727" s="1" t="n">
        <v>45567</v>
      </c>
      <c r="C19727" s="1" t="n">
        <v>45586</v>
      </c>
      <c r="D19727" t="inlineStr">
        <is>
          <t>VÄSTRA GÖTALANDS LÄN</t>
        </is>
      </c>
      <c r="E19727" t="inlineStr">
        <is>
          <t>HERRLJUNGA</t>
        </is>
      </c>
      <c r="G19727" t="n">
        <v>4.1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43067-2024</t>
        </is>
      </c>
      <c r="B19728" s="1" t="n">
        <v>45567</v>
      </c>
      <c r="C19728" s="1" t="n">
        <v>45586</v>
      </c>
      <c r="D19728" t="inlineStr">
        <is>
          <t>VÄSTRA GÖTALANDS LÄN</t>
        </is>
      </c>
      <c r="E19728" t="inlineStr">
        <is>
          <t>MÖLNDAL</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43130-2024</t>
        </is>
      </c>
      <c r="B19729" s="1" t="n">
        <v>45567</v>
      </c>
      <c r="C19729" s="1" t="n">
        <v>45586</v>
      </c>
      <c r="D19729" t="inlineStr">
        <is>
          <t>VÄSTRA GÖTALANDS LÄN</t>
        </is>
      </c>
      <c r="E19729" t="inlineStr">
        <is>
          <t>MARIESTAD</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43182-2024</t>
        </is>
      </c>
      <c r="B19730" s="1" t="n">
        <v>45567</v>
      </c>
      <c r="C19730" s="1" t="n">
        <v>45586</v>
      </c>
      <c r="D19730" t="inlineStr">
        <is>
          <t>VÄSTRA GÖTALANDS LÄN</t>
        </is>
      </c>
      <c r="E19730" t="inlineStr">
        <is>
          <t>HERRLJUNGA</t>
        </is>
      </c>
      <c r="F19730" t="inlineStr">
        <is>
          <t>Kommuner</t>
        </is>
      </c>
      <c r="G19730" t="n">
        <v>0.4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43135-2024</t>
        </is>
      </c>
      <c r="B19731" s="1" t="n">
        <v>45567</v>
      </c>
      <c r="C19731" s="1" t="n">
        <v>45586</v>
      </c>
      <c r="D19731" t="inlineStr">
        <is>
          <t>VÄSTRA GÖTALANDS LÄN</t>
        </is>
      </c>
      <c r="E19731" t="inlineStr">
        <is>
          <t>HERRLJUNGA</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43228-2024</t>
        </is>
      </c>
      <c r="B19732" s="1" t="n">
        <v>45567</v>
      </c>
      <c r="C19732" s="1" t="n">
        <v>45586</v>
      </c>
      <c r="D19732" t="inlineStr">
        <is>
          <t>VÄSTRA GÖTALANDS LÄN</t>
        </is>
      </c>
      <c r="E19732" t="inlineStr">
        <is>
          <t>ORUST</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43227-2024</t>
        </is>
      </c>
      <c r="B19733" s="1" t="n">
        <v>45567</v>
      </c>
      <c r="C19733" s="1" t="n">
        <v>45586</v>
      </c>
      <c r="D19733" t="inlineStr">
        <is>
          <t>VÄSTRA GÖTALANDS LÄN</t>
        </is>
      </c>
      <c r="E19733" t="inlineStr">
        <is>
          <t>ORUST</t>
        </is>
      </c>
      <c r="G19733" t="n">
        <v>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43176-2024</t>
        </is>
      </c>
      <c r="B19734" s="1" t="n">
        <v>45567</v>
      </c>
      <c r="C19734" s="1" t="n">
        <v>45586</v>
      </c>
      <c r="D19734" t="inlineStr">
        <is>
          <t>VÄSTRA GÖTALANDS LÄN</t>
        </is>
      </c>
      <c r="E19734" t="inlineStr">
        <is>
          <t>BORÅS</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43225-2024</t>
        </is>
      </c>
      <c r="B19735" s="1" t="n">
        <v>45567</v>
      </c>
      <c r="C19735" s="1" t="n">
        <v>45586</v>
      </c>
      <c r="D19735" t="inlineStr">
        <is>
          <t>VÄSTRA GÖTALANDS LÄN</t>
        </is>
      </c>
      <c r="E19735" t="inlineStr">
        <is>
          <t>FALKÖPING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43229-2024</t>
        </is>
      </c>
      <c r="B19736" s="1" t="n">
        <v>45567</v>
      </c>
      <c r="C19736" s="1" t="n">
        <v>45586</v>
      </c>
      <c r="D19736" t="inlineStr">
        <is>
          <t>VÄSTRA GÖTALANDS LÄN</t>
        </is>
      </c>
      <c r="E19736" t="inlineStr">
        <is>
          <t>TJÖRN</t>
        </is>
      </c>
      <c r="G19736" t="n">
        <v>9.699999999999999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43097-2024</t>
        </is>
      </c>
      <c r="B19737" s="1" t="n">
        <v>45567</v>
      </c>
      <c r="C19737" s="1" t="n">
        <v>45586</v>
      </c>
      <c r="D19737" t="inlineStr">
        <is>
          <t>VÄSTRA GÖTALANDS LÄN</t>
        </is>
      </c>
      <c r="E19737" t="inlineStr">
        <is>
          <t>GULLSPÅNG</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43105-2024</t>
        </is>
      </c>
      <c r="B19738" s="1" t="n">
        <v>45567</v>
      </c>
      <c r="C19738" s="1" t="n">
        <v>45586</v>
      </c>
      <c r="D19738" t="inlineStr">
        <is>
          <t>VÄSTRA GÖTALANDS LÄN</t>
        </is>
      </c>
      <c r="E19738" t="inlineStr">
        <is>
          <t>GULLSPÅNG</t>
        </is>
      </c>
      <c r="G19738" t="n">
        <v>5.5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43113-2024</t>
        </is>
      </c>
      <c r="B19739" s="1" t="n">
        <v>45567</v>
      </c>
      <c r="C19739" s="1" t="n">
        <v>45586</v>
      </c>
      <c r="D19739" t="inlineStr">
        <is>
          <t>VÄSTRA GÖTALANDS LÄN</t>
        </is>
      </c>
      <c r="E19739" t="inlineStr">
        <is>
          <t>ÅMÅL</t>
        </is>
      </c>
      <c r="G19739" t="n">
        <v>8.699999999999999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43117-2024</t>
        </is>
      </c>
      <c r="B19740" s="1" t="n">
        <v>45567</v>
      </c>
      <c r="C19740" s="1" t="n">
        <v>45586</v>
      </c>
      <c r="D19740" t="inlineStr">
        <is>
          <t>VÄSTRA GÖTALANDS LÄN</t>
        </is>
      </c>
      <c r="E19740" t="inlineStr">
        <is>
          <t>GULLSPÅNG</t>
        </is>
      </c>
      <c r="G19740" t="n">
        <v>7.9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43133-2024</t>
        </is>
      </c>
      <c r="B19741" s="1" t="n">
        <v>45567</v>
      </c>
      <c r="C19741" s="1" t="n">
        <v>45586</v>
      </c>
      <c r="D19741" t="inlineStr">
        <is>
          <t>VÄSTRA GÖTALANDS LÄN</t>
        </is>
      </c>
      <c r="E19741" t="inlineStr">
        <is>
          <t>HERRLJUNGA</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43185-2024</t>
        </is>
      </c>
      <c r="B19742" s="1" t="n">
        <v>45567</v>
      </c>
      <c r="C19742" s="1" t="n">
        <v>45586</v>
      </c>
      <c r="D19742" t="inlineStr">
        <is>
          <t>VÄSTRA GÖTALANDS LÄN</t>
        </is>
      </c>
      <c r="E19742" t="inlineStr">
        <is>
          <t>BORÅS</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43201-2024</t>
        </is>
      </c>
      <c r="B19743" s="1" t="n">
        <v>45567</v>
      </c>
      <c r="C19743" s="1" t="n">
        <v>45586</v>
      </c>
      <c r="D19743" t="inlineStr">
        <is>
          <t>VÄSTRA GÖTALANDS LÄN</t>
        </is>
      </c>
      <c r="E19743" t="inlineStr">
        <is>
          <t>HERRLJUNGA</t>
        </is>
      </c>
      <c r="F19743" t="inlineStr">
        <is>
          <t>Kommuner</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43226-2024</t>
        </is>
      </c>
      <c r="B19744" s="1" t="n">
        <v>45567</v>
      </c>
      <c r="C19744" s="1" t="n">
        <v>45586</v>
      </c>
      <c r="D19744" t="inlineStr">
        <is>
          <t>VÄSTRA GÖTALANDS LÄN</t>
        </is>
      </c>
      <c r="E19744" t="inlineStr">
        <is>
          <t>FALKÖPING</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43276-2024</t>
        </is>
      </c>
      <c r="B19745" s="1" t="n">
        <v>45568</v>
      </c>
      <c r="C19745" s="1" t="n">
        <v>45586</v>
      </c>
      <c r="D19745" t="inlineStr">
        <is>
          <t>VÄSTRA GÖTALANDS LÄN</t>
        </is>
      </c>
      <c r="E19745" t="inlineStr">
        <is>
          <t>FALKÖPING</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43244-2024</t>
        </is>
      </c>
      <c r="B19746" s="1" t="n">
        <v>45568</v>
      </c>
      <c r="C19746" s="1" t="n">
        <v>45586</v>
      </c>
      <c r="D19746" t="inlineStr">
        <is>
          <t>VÄSTRA GÖTALANDS LÄN</t>
        </is>
      </c>
      <c r="E19746" t="inlineStr">
        <is>
          <t>BENGTSFORS</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43315-2024</t>
        </is>
      </c>
      <c r="B19747" s="1" t="n">
        <v>45568</v>
      </c>
      <c r="C19747" s="1" t="n">
        <v>45586</v>
      </c>
      <c r="D19747" t="inlineStr">
        <is>
          <t>VÄSTRA GÖTALANDS LÄN</t>
        </is>
      </c>
      <c r="E19747" t="inlineStr">
        <is>
          <t>TRANEMO</t>
        </is>
      </c>
      <c r="G19747" t="n">
        <v>4.1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43355-2024</t>
        </is>
      </c>
      <c r="B19748" s="1" t="n">
        <v>45568</v>
      </c>
      <c r="C19748" s="1" t="n">
        <v>45586</v>
      </c>
      <c r="D19748" t="inlineStr">
        <is>
          <t>VÄSTRA GÖTALANDS LÄN</t>
        </is>
      </c>
      <c r="E19748" t="inlineStr">
        <is>
          <t>BENGTSFORS</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43328-2024</t>
        </is>
      </c>
      <c r="B19749" s="1" t="n">
        <v>45568</v>
      </c>
      <c r="C19749" s="1" t="n">
        <v>45586</v>
      </c>
      <c r="D19749" t="inlineStr">
        <is>
          <t>VÄSTRA GÖTALANDS LÄN</t>
        </is>
      </c>
      <c r="E19749" t="inlineStr">
        <is>
          <t>VÄNERSBORG</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43356-2024</t>
        </is>
      </c>
      <c r="B19750" s="1" t="n">
        <v>45568</v>
      </c>
      <c r="C19750" s="1" t="n">
        <v>45586</v>
      </c>
      <c r="D19750" t="inlineStr">
        <is>
          <t>VÄSTRA GÖTALANDS LÄN</t>
        </is>
      </c>
      <c r="E19750" t="inlineStr">
        <is>
          <t>BENGTSFORS</t>
        </is>
      </c>
      <c r="G19750" t="n">
        <v>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43364-2024</t>
        </is>
      </c>
      <c r="B19751" s="1" t="n">
        <v>45568</v>
      </c>
      <c r="C19751" s="1" t="n">
        <v>45586</v>
      </c>
      <c r="D19751" t="inlineStr">
        <is>
          <t>VÄSTRA GÖTALANDS LÄN</t>
        </is>
      </c>
      <c r="E19751" t="inlineStr">
        <is>
          <t>TANUM</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43398-2024</t>
        </is>
      </c>
      <c r="B19752" s="1" t="n">
        <v>45568</v>
      </c>
      <c r="C19752" s="1" t="n">
        <v>45586</v>
      </c>
      <c r="D19752" t="inlineStr">
        <is>
          <t>VÄSTRA GÖTALANDS LÄN</t>
        </is>
      </c>
      <c r="E19752" t="inlineStr">
        <is>
          <t>BOLLEBYGD</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43414-2024</t>
        </is>
      </c>
      <c r="B19753" s="1" t="n">
        <v>45568</v>
      </c>
      <c r="C19753" s="1" t="n">
        <v>45586</v>
      </c>
      <c r="D19753" t="inlineStr">
        <is>
          <t>VÄSTRA GÖTALANDS LÄN</t>
        </is>
      </c>
      <c r="E19753" t="inlineStr">
        <is>
          <t>VÄNERSBORG</t>
        </is>
      </c>
      <c r="G19753" t="n">
        <v>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43426-2024</t>
        </is>
      </c>
      <c r="B19754" s="1" t="n">
        <v>45568</v>
      </c>
      <c r="C19754" s="1" t="n">
        <v>45586</v>
      </c>
      <c r="D19754" t="inlineStr">
        <is>
          <t>VÄSTRA GÖTALANDS LÄN</t>
        </is>
      </c>
      <c r="E19754" t="inlineStr">
        <is>
          <t>UDDEVALLA</t>
        </is>
      </c>
      <c r="G19754" t="n">
        <v>5.2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43325-2024</t>
        </is>
      </c>
      <c r="B19755" s="1" t="n">
        <v>45568</v>
      </c>
      <c r="C19755" s="1" t="n">
        <v>45586</v>
      </c>
      <c r="D19755" t="inlineStr">
        <is>
          <t>VÄSTRA GÖTALANDS LÄN</t>
        </is>
      </c>
      <c r="E19755" t="inlineStr">
        <is>
          <t>VÄNERSBORG</t>
        </is>
      </c>
      <c r="G19755" t="n">
        <v>23.2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43349-2024</t>
        </is>
      </c>
      <c r="B19756" s="1" t="n">
        <v>45568</v>
      </c>
      <c r="C19756" s="1" t="n">
        <v>45586</v>
      </c>
      <c r="D19756" t="inlineStr">
        <is>
          <t>VÄSTRA GÖTALANDS LÄN</t>
        </is>
      </c>
      <c r="E19756" t="inlineStr">
        <is>
          <t>MELLERUD</t>
        </is>
      </c>
      <c r="G19756" t="n">
        <v>4.1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43353-2024</t>
        </is>
      </c>
      <c r="B19757" s="1" t="n">
        <v>45568</v>
      </c>
      <c r="C19757" s="1" t="n">
        <v>45586</v>
      </c>
      <c r="D19757" t="inlineStr">
        <is>
          <t>VÄSTRA GÖTALANDS LÄN</t>
        </is>
      </c>
      <c r="E19757" t="inlineStr">
        <is>
          <t>MELLERUD</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43435-2024</t>
        </is>
      </c>
      <c r="B19758" s="1" t="n">
        <v>45568</v>
      </c>
      <c r="C19758" s="1" t="n">
        <v>45586</v>
      </c>
      <c r="D19758" t="inlineStr">
        <is>
          <t>VÄSTRA GÖTALANDS LÄN</t>
        </is>
      </c>
      <c r="E19758" t="inlineStr">
        <is>
          <t>ALINGSÅS</t>
        </is>
      </c>
      <c r="G19758" t="n">
        <v>4.8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43443-2024</t>
        </is>
      </c>
      <c r="B19759" s="1" t="n">
        <v>45568</v>
      </c>
      <c r="C19759" s="1" t="n">
        <v>45586</v>
      </c>
      <c r="D19759" t="inlineStr">
        <is>
          <t>VÄSTRA GÖTALANDS LÄN</t>
        </is>
      </c>
      <c r="E19759" t="inlineStr">
        <is>
          <t>MELLERUD</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43474-2024</t>
        </is>
      </c>
      <c r="B19760" s="1" t="n">
        <v>45568</v>
      </c>
      <c r="C19760" s="1" t="n">
        <v>45586</v>
      </c>
      <c r="D19760" t="inlineStr">
        <is>
          <t>VÄSTRA GÖTALANDS LÄN</t>
        </is>
      </c>
      <c r="E19760" t="inlineStr">
        <is>
          <t>MARK</t>
        </is>
      </c>
      <c r="G19760" t="n">
        <v>3.1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43478-2024</t>
        </is>
      </c>
      <c r="B19761" s="1" t="n">
        <v>45568</v>
      </c>
      <c r="C19761" s="1" t="n">
        <v>45586</v>
      </c>
      <c r="D19761" t="inlineStr">
        <is>
          <t>VÄSTRA GÖTALANDS LÄN</t>
        </is>
      </c>
      <c r="E19761" t="inlineStr">
        <is>
          <t>ULRICEHAMN</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43457-2024</t>
        </is>
      </c>
      <c r="B19762" s="1" t="n">
        <v>45568</v>
      </c>
      <c r="C19762" s="1" t="n">
        <v>45586</v>
      </c>
      <c r="D19762" t="inlineStr">
        <is>
          <t>VÄSTRA GÖTALANDS LÄN</t>
        </is>
      </c>
      <c r="E19762" t="inlineStr">
        <is>
          <t>VÅRGÅRDA</t>
        </is>
      </c>
      <c r="G19762" t="n">
        <v>10.4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43481-2024</t>
        </is>
      </c>
      <c r="B19763" s="1" t="n">
        <v>45568</v>
      </c>
      <c r="C19763" s="1" t="n">
        <v>45586</v>
      </c>
      <c r="D19763" t="inlineStr">
        <is>
          <t>VÄSTRA GÖTALANDS LÄN</t>
        </is>
      </c>
      <c r="E19763" t="inlineStr">
        <is>
          <t>BOLLEBYGD</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43241-2024</t>
        </is>
      </c>
      <c r="B19764" s="1" t="n">
        <v>45568</v>
      </c>
      <c r="C19764" s="1" t="n">
        <v>45586</v>
      </c>
      <c r="D19764" t="inlineStr">
        <is>
          <t>VÄSTRA GÖTALANDS LÄN</t>
        </is>
      </c>
      <c r="E19764" t="inlineStr">
        <is>
          <t>ULRICEHAMN</t>
        </is>
      </c>
      <c r="G19764" t="n">
        <v>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43262-2024</t>
        </is>
      </c>
      <c r="B19765" s="1" t="n">
        <v>45568</v>
      </c>
      <c r="C19765" s="1" t="n">
        <v>45586</v>
      </c>
      <c r="D19765" t="inlineStr">
        <is>
          <t>VÄSTRA GÖTALANDS LÄN</t>
        </is>
      </c>
      <c r="E19765" t="inlineStr">
        <is>
          <t>VÅRGÅRDA</t>
        </is>
      </c>
      <c r="G19765" t="n">
        <v>3.3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43318-2024</t>
        </is>
      </c>
      <c r="B19766" s="1" t="n">
        <v>45568</v>
      </c>
      <c r="C19766" s="1" t="n">
        <v>45586</v>
      </c>
      <c r="D19766" t="inlineStr">
        <is>
          <t>VÄSTRA GÖTALANDS LÄN</t>
        </is>
      </c>
      <c r="E19766" t="inlineStr">
        <is>
          <t>TRANEMO</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43322-2024</t>
        </is>
      </c>
      <c r="B19767" s="1" t="n">
        <v>45568</v>
      </c>
      <c r="C19767" s="1" t="n">
        <v>45586</v>
      </c>
      <c r="D19767" t="inlineStr">
        <is>
          <t>VÄSTRA GÖTALANDS LÄN</t>
        </is>
      </c>
      <c r="E19767" t="inlineStr">
        <is>
          <t>MUNKEDAL</t>
        </is>
      </c>
      <c r="G19767" t="n">
        <v>1.9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43358-2024</t>
        </is>
      </c>
      <c r="B19768" s="1" t="n">
        <v>45568</v>
      </c>
      <c r="C19768" s="1" t="n">
        <v>45586</v>
      </c>
      <c r="D19768" t="inlineStr">
        <is>
          <t>VÄSTRA GÖTALANDS LÄN</t>
        </is>
      </c>
      <c r="E19768" t="inlineStr">
        <is>
          <t>TANUM</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43404-2024</t>
        </is>
      </c>
      <c r="B19769" s="1" t="n">
        <v>45568</v>
      </c>
      <c r="C19769" s="1" t="n">
        <v>45586</v>
      </c>
      <c r="D19769" t="inlineStr">
        <is>
          <t>VÄSTRA GÖTALANDS LÄN</t>
        </is>
      </c>
      <c r="E19769" t="inlineStr">
        <is>
          <t>MARK</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43452-2024</t>
        </is>
      </c>
      <c r="B19770" s="1" t="n">
        <v>45568</v>
      </c>
      <c r="C19770" s="1" t="n">
        <v>45586</v>
      </c>
      <c r="D19770" t="inlineStr">
        <is>
          <t>VÄSTRA GÖTALANDS LÄN</t>
        </is>
      </c>
      <c r="E19770" t="inlineStr">
        <is>
          <t>ÅMÅL</t>
        </is>
      </c>
      <c r="G19770" t="n">
        <v>6.5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43460-2024</t>
        </is>
      </c>
      <c r="B19771" s="1" t="n">
        <v>45568</v>
      </c>
      <c r="C19771" s="1" t="n">
        <v>45586</v>
      </c>
      <c r="D19771" t="inlineStr">
        <is>
          <t>VÄSTRA GÖTALANDS LÄN</t>
        </is>
      </c>
      <c r="E19771" t="inlineStr">
        <is>
          <t>LIDKÖPING</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43479-2024</t>
        </is>
      </c>
      <c r="B19772" s="1" t="n">
        <v>45568</v>
      </c>
      <c r="C19772" s="1" t="n">
        <v>45586</v>
      </c>
      <c r="D19772" t="inlineStr">
        <is>
          <t>VÄSTRA GÖTALANDS LÄN</t>
        </is>
      </c>
      <c r="E19772" t="inlineStr">
        <is>
          <t>ULRICEHAMN</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43487-2024</t>
        </is>
      </c>
      <c r="B19773" s="1" t="n">
        <v>45568</v>
      </c>
      <c r="C19773" s="1" t="n">
        <v>45586</v>
      </c>
      <c r="D19773" t="inlineStr">
        <is>
          <t>VÄSTRA GÖTALANDS LÄN</t>
        </is>
      </c>
      <c r="E19773" t="inlineStr">
        <is>
          <t>VARA</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43480-2024</t>
        </is>
      </c>
      <c r="B19774" s="1" t="n">
        <v>45568</v>
      </c>
      <c r="C19774" s="1" t="n">
        <v>45586</v>
      </c>
      <c r="D19774" t="inlineStr">
        <is>
          <t>VÄSTRA GÖTALANDS LÄN</t>
        </is>
      </c>
      <c r="E19774" t="inlineStr">
        <is>
          <t>ULRICEHAMN</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43524-2024</t>
        </is>
      </c>
      <c r="B19775" s="1" t="n">
        <v>45569</v>
      </c>
      <c r="C19775" s="1" t="n">
        <v>45586</v>
      </c>
      <c r="D19775" t="inlineStr">
        <is>
          <t>VÄSTRA GÖTALANDS LÄN</t>
        </is>
      </c>
      <c r="E19775" t="inlineStr">
        <is>
          <t>SVENLJUNGA</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43564-2024</t>
        </is>
      </c>
      <c r="B19776" s="1" t="n">
        <v>45569</v>
      </c>
      <c r="C19776" s="1" t="n">
        <v>45586</v>
      </c>
      <c r="D19776" t="inlineStr">
        <is>
          <t>VÄSTRA GÖTALANDS LÄN</t>
        </is>
      </c>
      <c r="E19776" t="inlineStr">
        <is>
          <t>GULLSPÅNG</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43559-2024</t>
        </is>
      </c>
      <c r="B19777" s="1" t="n">
        <v>45569</v>
      </c>
      <c r="C19777" s="1" t="n">
        <v>45586</v>
      </c>
      <c r="D19777" t="inlineStr">
        <is>
          <t>VÄSTRA GÖTALANDS LÄN</t>
        </is>
      </c>
      <c r="E19777" t="inlineStr">
        <is>
          <t>TÖREBODA</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43589-2024</t>
        </is>
      </c>
      <c r="B19778" s="1" t="n">
        <v>45569</v>
      </c>
      <c r="C19778" s="1" t="n">
        <v>45586</v>
      </c>
      <c r="D19778" t="inlineStr">
        <is>
          <t>VÄSTRA GÖTALANDS LÄN</t>
        </is>
      </c>
      <c r="E19778" t="inlineStr">
        <is>
          <t>DALS-ED</t>
        </is>
      </c>
      <c r="G19778" t="n">
        <v>5.2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43615-2024</t>
        </is>
      </c>
      <c r="B19779" s="1" t="n">
        <v>45569</v>
      </c>
      <c r="C19779" s="1" t="n">
        <v>45586</v>
      </c>
      <c r="D19779" t="inlineStr">
        <is>
          <t>VÄSTRA GÖTALANDS LÄN</t>
        </is>
      </c>
      <c r="E19779" t="inlineStr">
        <is>
          <t>VARA</t>
        </is>
      </c>
      <c r="F19779" t="inlineStr">
        <is>
          <t>Kyrkan</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43583-2024</t>
        </is>
      </c>
      <c r="B19780" s="1" t="n">
        <v>45569</v>
      </c>
      <c r="C19780" s="1" t="n">
        <v>45586</v>
      </c>
      <c r="D19780" t="inlineStr">
        <is>
          <t>VÄSTRA GÖTALANDS LÄN</t>
        </is>
      </c>
      <c r="E19780" t="inlineStr">
        <is>
          <t>MUNKEDAL</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43638-2024</t>
        </is>
      </c>
      <c r="B19781" s="1" t="n">
        <v>45569</v>
      </c>
      <c r="C19781" s="1" t="n">
        <v>45586</v>
      </c>
      <c r="D19781" t="inlineStr">
        <is>
          <t>VÄSTRA GÖTALANDS LÄN</t>
        </is>
      </c>
      <c r="E19781" t="inlineStr">
        <is>
          <t>MARIESTAD</t>
        </is>
      </c>
      <c r="F19781" t="inlineStr">
        <is>
          <t>Sveaskog</t>
        </is>
      </c>
      <c r="G19781" t="n">
        <v>7.9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43648-2024</t>
        </is>
      </c>
      <c r="B19782" s="1" t="n">
        <v>45569</v>
      </c>
      <c r="C19782" s="1" t="n">
        <v>45586</v>
      </c>
      <c r="D19782" t="inlineStr">
        <is>
          <t>VÄSTRA GÖTALANDS LÄN</t>
        </is>
      </c>
      <c r="E19782" t="inlineStr">
        <is>
          <t>KARLSBORG</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43709-2024</t>
        </is>
      </c>
      <c r="B19783" s="1" t="n">
        <v>45569</v>
      </c>
      <c r="C19783" s="1" t="n">
        <v>45586</v>
      </c>
      <c r="D19783" t="inlineStr">
        <is>
          <t>VÄSTRA GÖTALANDS LÄN</t>
        </is>
      </c>
      <c r="E19783" t="inlineStr">
        <is>
          <t>KARLSBORG</t>
        </is>
      </c>
      <c r="G19783" t="n">
        <v>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43690-2024</t>
        </is>
      </c>
      <c r="B19784" s="1" t="n">
        <v>45569</v>
      </c>
      <c r="C19784" s="1" t="n">
        <v>45586</v>
      </c>
      <c r="D19784" t="inlineStr">
        <is>
          <t>VÄSTRA GÖTALANDS LÄN</t>
        </is>
      </c>
      <c r="E19784" t="inlineStr">
        <is>
          <t>BORÅS</t>
        </is>
      </c>
      <c r="G19784" t="n">
        <v>7.5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43750-2024</t>
        </is>
      </c>
      <c r="B19785" s="1" t="n">
        <v>45569</v>
      </c>
      <c r="C19785" s="1" t="n">
        <v>45586</v>
      </c>
      <c r="D19785" t="inlineStr">
        <is>
          <t>VÄSTRA GÖTALANDS LÄN</t>
        </is>
      </c>
      <c r="E19785" t="inlineStr">
        <is>
          <t>MARK</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43741-2024</t>
        </is>
      </c>
      <c r="B19786" s="1" t="n">
        <v>45569</v>
      </c>
      <c r="C19786" s="1" t="n">
        <v>45586</v>
      </c>
      <c r="D19786" t="inlineStr">
        <is>
          <t>VÄSTRA GÖTALANDS LÄN</t>
        </is>
      </c>
      <c r="E19786" t="inlineStr">
        <is>
          <t>ALINGSÅS</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43716-2024</t>
        </is>
      </c>
      <c r="B19787" s="1" t="n">
        <v>45569</v>
      </c>
      <c r="C19787" s="1" t="n">
        <v>45586</v>
      </c>
      <c r="D19787" t="inlineStr">
        <is>
          <t>VÄSTRA GÖTALANDS LÄN</t>
        </is>
      </c>
      <c r="E19787" t="inlineStr">
        <is>
          <t>HERRLJUNGA</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43870-2024</t>
        </is>
      </c>
      <c r="B19788" s="1" t="n">
        <v>45569</v>
      </c>
      <c r="C19788" s="1" t="n">
        <v>45586</v>
      </c>
      <c r="D19788" t="inlineStr">
        <is>
          <t>VÄSTRA GÖTALANDS LÄN</t>
        </is>
      </c>
      <c r="E19788" t="inlineStr">
        <is>
          <t>BENGTSFORS</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43561-2024</t>
        </is>
      </c>
      <c r="B19789" s="1" t="n">
        <v>45569</v>
      </c>
      <c r="C19789" s="1" t="n">
        <v>45586</v>
      </c>
      <c r="D19789" t="inlineStr">
        <is>
          <t>VÄSTRA GÖTALANDS LÄN</t>
        </is>
      </c>
      <c r="E19789" t="inlineStr">
        <is>
          <t>TÖREBODA</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43604-2024</t>
        </is>
      </c>
      <c r="B19790" s="1" t="n">
        <v>45569</v>
      </c>
      <c r="C19790" s="1" t="n">
        <v>45586</v>
      </c>
      <c r="D19790" t="inlineStr">
        <is>
          <t>VÄSTRA GÖTALANDS LÄN</t>
        </is>
      </c>
      <c r="E19790" t="inlineStr">
        <is>
          <t>TROLLHÄTTAN</t>
        </is>
      </c>
      <c r="G19790" t="n">
        <v>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43620-2024</t>
        </is>
      </c>
      <c r="B19791" s="1" t="n">
        <v>45569</v>
      </c>
      <c r="C19791" s="1" t="n">
        <v>45586</v>
      </c>
      <c r="D19791" t="inlineStr">
        <is>
          <t>VÄSTRA GÖTALANDS LÄN</t>
        </is>
      </c>
      <c r="E19791" t="inlineStr">
        <is>
          <t>VARA</t>
        </is>
      </c>
      <c r="F19791" t="inlineStr">
        <is>
          <t>Kyrkan</t>
        </is>
      </c>
      <c r="G19791" t="n">
        <v>1.3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43624-2024</t>
        </is>
      </c>
      <c r="B19792" s="1" t="n">
        <v>45569</v>
      </c>
      <c r="C19792" s="1" t="n">
        <v>45586</v>
      </c>
      <c r="D19792" t="inlineStr">
        <is>
          <t>VÄSTRA GÖTALANDS LÄN</t>
        </is>
      </c>
      <c r="E19792" t="inlineStr">
        <is>
          <t>VARA</t>
        </is>
      </c>
      <c r="F19792" t="inlineStr">
        <is>
          <t>Kyrkan</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45586</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45586</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43821-2024</t>
        </is>
      </c>
      <c r="B19795" s="1" t="n">
        <v>45571</v>
      </c>
      <c r="C19795" s="1" t="n">
        <v>45586</v>
      </c>
      <c r="D19795" t="inlineStr">
        <is>
          <t>VÄSTRA GÖTALANDS LÄN</t>
        </is>
      </c>
      <c r="E19795" t="inlineStr">
        <is>
          <t>FALKÖPING</t>
        </is>
      </c>
      <c r="G19795" t="n">
        <v>3.5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43928-2024</t>
        </is>
      </c>
      <c r="B19796" s="1" t="n">
        <v>45571</v>
      </c>
      <c r="C19796" s="1" t="n">
        <v>45586</v>
      </c>
      <c r="D19796" t="inlineStr">
        <is>
          <t>VÄSTRA GÖTALANDS LÄN</t>
        </is>
      </c>
      <c r="E19796" t="inlineStr">
        <is>
          <t>TANUM</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43798-2024</t>
        </is>
      </c>
      <c r="B19797" s="1" t="n">
        <v>45571</v>
      </c>
      <c r="C19797" s="1" t="n">
        <v>45586</v>
      </c>
      <c r="D19797" t="inlineStr">
        <is>
          <t>VÄSTRA GÖTALANDS LÄN</t>
        </is>
      </c>
      <c r="E19797" t="inlineStr">
        <is>
          <t>VÄNERSBORG</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43795-2024</t>
        </is>
      </c>
      <c r="B19798" s="1" t="n">
        <v>45571</v>
      </c>
      <c r="C19798" s="1" t="n">
        <v>45586</v>
      </c>
      <c r="D19798" t="inlineStr">
        <is>
          <t>VÄSTRA GÖTALANDS LÄN</t>
        </is>
      </c>
      <c r="E19798" t="inlineStr">
        <is>
          <t>LILLA EDET</t>
        </is>
      </c>
      <c r="G19798" t="n">
        <v>1.3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43799-2024</t>
        </is>
      </c>
      <c r="B19799" s="1" t="n">
        <v>45571</v>
      </c>
      <c r="C19799" s="1" t="n">
        <v>45586</v>
      </c>
      <c r="D19799" t="inlineStr">
        <is>
          <t>VÄSTRA GÖTALANDS LÄN</t>
        </is>
      </c>
      <c r="E19799" t="inlineStr">
        <is>
          <t>VÄNERSBORG</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43921-2024</t>
        </is>
      </c>
      <c r="B19800" s="1" t="n">
        <v>45571</v>
      </c>
      <c r="C19800" s="1" t="n">
        <v>45586</v>
      </c>
      <c r="D19800" t="inlineStr">
        <is>
          <t>VÄSTRA GÖTALANDS LÄN</t>
        </is>
      </c>
      <c r="E19800" t="inlineStr">
        <is>
          <t>TANUM</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43841-2024</t>
        </is>
      </c>
      <c r="B19801" s="1" t="n">
        <v>45572</v>
      </c>
      <c r="C19801" s="1" t="n">
        <v>45586</v>
      </c>
      <c r="D19801" t="inlineStr">
        <is>
          <t>VÄSTRA GÖTALANDS LÄN</t>
        </is>
      </c>
      <c r="E19801" t="inlineStr">
        <is>
          <t>DALS-ED</t>
        </is>
      </c>
      <c r="G19801" t="n">
        <v>2.4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43856-2024</t>
        </is>
      </c>
      <c r="B19802" s="1" t="n">
        <v>45572</v>
      </c>
      <c r="C19802" s="1" t="n">
        <v>45586</v>
      </c>
      <c r="D19802" t="inlineStr">
        <is>
          <t>VÄSTRA GÖTALANDS LÄN</t>
        </is>
      </c>
      <c r="E19802" t="inlineStr">
        <is>
          <t>VÄNERSBORG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43877-2024</t>
        </is>
      </c>
      <c r="B19803" s="1" t="n">
        <v>45572</v>
      </c>
      <c r="C19803" s="1" t="n">
        <v>45586</v>
      </c>
      <c r="D19803" t="inlineStr">
        <is>
          <t>VÄSTRA GÖTALANDS LÄN</t>
        </is>
      </c>
      <c r="E19803" t="inlineStr">
        <is>
          <t>SVENLJUNGA</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43908-2024</t>
        </is>
      </c>
      <c r="B19804" s="1" t="n">
        <v>45572</v>
      </c>
      <c r="C19804" s="1" t="n">
        <v>45586</v>
      </c>
      <c r="D19804" t="inlineStr">
        <is>
          <t>VÄSTRA GÖTALANDS LÄN</t>
        </is>
      </c>
      <c r="E19804" t="inlineStr">
        <is>
          <t>DALS-ED</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43924-2024</t>
        </is>
      </c>
      <c r="B19805" s="1" t="n">
        <v>45572</v>
      </c>
      <c r="C19805" s="1" t="n">
        <v>45586</v>
      </c>
      <c r="D19805" t="inlineStr">
        <is>
          <t>VÄSTRA GÖTALANDS LÄN</t>
        </is>
      </c>
      <c r="E19805" t="inlineStr">
        <is>
          <t>SVENLJUNGA</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43938-2024</t>
        </is>
      </c>
      <c r="B19806" s="1" t="n">
        <v>45572</v>
      </c>
      <c r="C19806" s="1" t="n">
        <v>45586</v>
      </c>
      <c r="D19806" t="inlineStr">
        <is>
          <t>VÄSTRA GÖTALANDS LÄN</t>
        </is>
      </c>
      <c r="E19806" t="inlineStr">
        <is>
          <t>BOLLEBYGD</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43937-2024</t>
        </is>
      </c>
      <c r="B19807" s="1" t="n">
        <v>45572</v>
      </c>
      <c r="C19807" s="1" t="n">
        <v>45586</v>
      </c>
      <c r="D19807" t="inlineStr">
        <is>
          <t>VÄSTRA GÖTALANDS LÄN</t>
        </is>
      </c>
      <c r="E19807" t="inlineStr">
        <is>
          <t>BOLLEBYGD</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44033-2024</t>
        </is>
      </c>
      <c r="B19808" s="1" t="n">
        <v>45572</v>
      </c>
      <c r="C19808" s="1" t="n">
        <v>45586</v>
      </c>
      <c r="D19808" t="inlineStr">
        <is>
          <t>VÄSTRA GÖTALANDS LÄN</t>
        </is>
      </c>
      <c r="E19808" t="inlineStr">
        <is>
          <t>GÖTENE</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44038-2024</t>
        </is>
      </c>
      <c r="B19809" s="1" t="n">
        <v>45572</v>
      </c>
      <c r="C19809" s="1" t="n">
        <v>45586</v>
      </c>
      <c r="D19809" t="inlineStr">
        <is>
          <t>VÄSTRA GÖTALANDS LÄN</t>
        </is>
      </c>
      <c r="E19809" t="inlineStr">
        <is>
          <t>TIDAHOLM</t>
        </is>
      </c>
      <c r="F19809" t="inlineStr">
        <is>
          <t>Sveaskog</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44087-2024</t>
        </is>
      </c>
      <c r="B19810" s="1" t="n">
        <v>45572</v>
      </c>
      <c r="C19810" s="1" t="n">
        <v>45586</v>
      </c>
      <c r="D19810" t="inlineStr">
        <is>
          <t>VÄSTRA GÖTALANDS LÄN</t>
        </is>
      </c>
      <c r="E19810" t="inlineStr">
        <is>
          <t>BENGTSFORS</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44028-2024</t>
        </is>
      </c>
      <c r="B19811" s="1" t="n">
        <v>45572</v>
      </c>
      <c r="C19811" s="1" t="n">
        <v>45586</v>
      </c>
      <c r="D19811" t="inlineStr">
        <is>
          <t>VÄSTRA GÖTALANDS LÄN</t>
        </is>
      </c>
      <c r="E19811" t="inlineStr">
        <is>
          <t>VARA</t>
        </is>
      </c>
      <c r="G19811" t="n">
        <v>10.5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44133-2024</t>
        </is>
      </c>
      <c r="B19812" s="1" t="n">
        <v>45572</v>
      </c>
      <c r="C19812" s="1" t="n">
        <v>45586</v>
      </c>
      <c r="D19812" t="inlineStr">
        <is>
          <t>VÄSTRA GÖTALANDS LÄN</t>
        </is>
      </c>
      <c r="E19812" t="inlineStr">
        <is>
          <t>UDDEVALLA</t>
        </is>
      </c>
      <c r="G19812" t="n">
        <v>4.4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44167-2024</t>
        </is>
      </c>
      <c r="B19813" s="1" t="n">
        <v>45572</v>
      </c>
      <c r="C19813" s="1" t="n">
        <v>45586</v>
      </c>
      <c r="D19813" t="inlineStr">
        <is>
          <t>VÄSTRA GÖTALANDS LÄN</t>
        </is>
      </c>
      <c r="E19813" t="inlineStr">
        <is>
          <t>TRANEMO</t>
        </is>
      </c>
      <c r="G19813" t="n">
        <v>1.8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43879-2024</t>
        </is>
      </c>
      <c r="B19814" s="1" t="n">
        <v>45572</v>
      </c>
      <c r="C19814" s="1" t="n">
        <v>45586</v>
      </c>
      <c r="D19814" t="inlineStr">
        <is>
          <t>VÄSTRA GÖTALANDS LÄN</t>
        </is>
      </c>
      <c r="E19814" t="inlineStr">
        <is>
          <t>SVENLJUNGA</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43901-2024</t>
        </is>
      </c>
      <c r="B19815" s="1" t="n">
        <v>45572</v>
      </c>
      <c r="C19815" s="1" t="n">
        <v>45586</v>
      </c>
      <c r="D19815" t="inlineStr">
        <is>
          <t>VÄSTRA GÖTALANDS LÄN</t>
        </is>
      </c>
      <c r="E19815" t="inlineStr">
        <is>
          <t>DALS-ED</t>
        </is>
      </c>
      <c r="G19815" t="n">
        <v>2.3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43922-2024</t>
        </is>
      </c>
      <c r="B19816" s="1" t="n">
        <v>45572</v>
      </c>
      <c r="C19816" s="1" t="n">
        <v>45586</v>
      </c>
      <c r="D19816" t="inlineStr">
        <is>
          <t>VÄSTRA GÖTALANDS LÄN</t>
        </is>
      </c>
      <c r="E19816" t="inlineStr">
        <is>
          <t>MARK</t>
        </is>
      </c>
      <c r="G19816" t="n">
        <v>2.7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43880-2024</t>
        </is>
      </c>
      <c r="B19817" s="1" t="n">
        <v>45572</v>
      </c>
      <c r="C19817" s="1" t="n">
        <v>45586</v>
      </c>
      <c r="D19817" t="inlineStr">
        <is>
          <t>VÄSTRA GÖTALANDS LÄN</t>
        </is>
      </c>
      <c r="E19817" t="inlineStr">
        <is>
          <t>SVENLJUNGA</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43885-2024</t>
        </is>
      </c>
      <c r="B19818" s="1" t="n">
        <v>45572</v>
      </c>
      <c r="C19818" s="1" t="n">
        <v>45586</v>
      </c>
      <c r="D19818" t="inlineStr">
        <is>
          <t>VÄSTRA GÖTALANDS LÄN</t>
        </is>
      </c>
      <c r="E19818" t="inlineStr">
        <is>
          <t>SVENLJUNGA</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43917-2024</t>
        </is>
      </c>
      <c r="B19819" s="1" t="n">
        <v>45572</v>
      </c>
      <c r="C19819" s="1" t="n">
        <v>45586</v>
      </c>
      <c r="D19819" t="inlineStr">
        <is>
          <t>VÄSTRA GÖTALANDS LÄN</t>
        </is>
      </c>
      <c r="E19819" t="inlineStr">
        <is>
          <t>VÅRGÅRDA</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43948-2024</t>
        </is>
      </c>
      <c r="B19820" s="1" t="n">
        <v>45572</v>
      </c>
      <c r="C19820" s="1" t="n">
        <v>45586</v>
      </c>
      <c r="D19820" t="inlineStr">
        <is>
          <t>VÄSTRA GÖTALANDS LÄN</t>
        </is>
      </c>
      <c r="E19820" t="inlineStr">
        <is>
          <t>ALINGSÅS</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44127-2024</t>
        </is>
      </c>
      <c r="B19821" s="1" t="n">
        <v>45572</v>
      </c>
      <c r="C19821" s="1" t="n">
        <v>45586</v>
      </c>
      <c r="D19821" t="inlineStr">
        <is>
          <t>VÄSTRA GÖTALANDS LÄN</t>
        </is>
      </c>
      <c r="E19821" t="inlineStr">
        <is>
          <t>ULRICEHAMN</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44165-2024</t>
        </is>
      </c>
      <c r="B19822" s="1" t="n">
        <v>45572</v>
      </c>
      <c r="C19822" s="1" t="n">
        <v>45586</v>
      </c>
      <c r="D19822" t="inlineStr">
        <is>
          <t>VÄSTRA GÖTALANDS LÄN</t>
        </is>
      </c>
      <c r="E19822" t="inlineStr">
        <is>
          <t>TRANEMO</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44039-2024</t>
        </is>
      </c>
      <c r="B19823" s="1" t="n">
        <v>45572</v>
      </c>
      <c r="C19823" s="1" t="n">
        <v>45586</v>
      </c>
      <c r="D19823" t="inlineStr">
        <is>
          <t>VÄSTRA GÖTALANDS LÄN</t>
        </is>
      </c>
      <c r="E19823" t="inlineStr">
        <is>
          <t>GÖTENE</t>
        </is>
      </c>
      <c r="G19823" t="n">
        <v>4.7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44072-2024</t>
        </is>
      </c>
      <c r="B19824" s="1" t="n">
        <v>45572</v>
      </c>
      <c r="C19824" s="1" t="n">
        <v>45586</v>
      </c>
      <c r="D19824" t="inlineStr">
        <is>
          <t>VÄSTRA GÖTALANDS LÄN</t>
        </is>
      </c>
      <c r="E19824" t="inlineStr">
        <is>
          <t>TRANEMO</t>
        </is>
      </c>
      <c r="G19824" t="n">
        <v>2.7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44104-2024</t>
        </is>
      </c>
      <c r="B19825" s="1" t="n">
        <v>45572</v>
      </c>
      <c r="C19825" s="1" t="n">
        <v>45586</v>
      </c>
      <c r="D19825" t="inlineStr">
        <is>
          <t>VÄSTRA GÖTALANDS LÄN</t>
        </is>
      </c>
      <c r="E19825" t="inlineStr">
        <is>
          <t>LIDKÖPING</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45586</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44243-2024</t>
        </is>
      </c>
      <c r="B19827" s="1" t="n">
        <v>45573</v>
      </c>
      <c r="C19827" s="1" t="n">
        <v>45586</v>
      </c>
      <c r="D19827" t="inlineStr">
        <is>
          <t>VÄSTRA GÖTALANDS LÄN</t>
        </is>
      </c>
      <c r="E19827" t="inlineStr">
        <is>
          <t>MARK</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44267-2024</t>
        </is>
      </c>
      <c r="B19828" s="1" t="n">
        <v>45573</v>
      </c>
      <c r="C19828" s="1" t="n">
        <v>45586</v>
      </c>
      <c r="D19828" t="inlineStr">
        <is>
          <t>VÄSTRA GÖTALANDS LÄN</t>
        </is>
      </c>
      <c r="E19828" t="inlineStr">
        <is>
          <t>MUNKEDAL</t>
        </is>
      </c>
      <c r="G19828" t="n">
        <v>4.6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44251-2024</t>
        </is>
      </c>
      <c r="B19829" s="1" t="n">
        <v>45573</v>
      </c>
      <c r="C19829" s="1" t="n">
        <v>45586</v>
      </c>
      <c r="D19829" t="inlineStr">
        <is>
          <t>VÄSTRA GÖTALANDS LÄN</t>
        </is>
      </c>
      <c r="E19829" t="inlineStr">
        <is>
          <t>SVENLJUNGA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44273-2024</t>
        </is>
      </c>
      <c r="B19830" s="1" t="n">
        <v>45573</v>
      </c>
      <c r="C19830" s="1" t="n">
        <v>45586</v>
      </c>
      <c r="D19830" t="inlineStr">
        <is>
          <t>VÄSTRA GÖTALANDS LÄN</t>
        </is>
      </c>
      <c r="E19830" t="inlineStr">
        <is>
          <t>KARLSBORG</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44290-2024</t>
        </is>
      </c>
      <c r="B19831" s="1" t="n">
        <v>45573</v>
      </c>
      <c r="C19831" s="1" t="n">
        <v>45586</v>
      </c>
      <c r="D19831" t="inlineStr">
        <is>
          <t>VÄSTRA GÖTALANDS LÄN</t>
        </is>
      </c>
      <c r="E19831" t="inlineStr">
        <is>
          <t>VÅRGÅRDA</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44306-2024</t>
        </is>
      </c>
      <c r="B19832" s="1" t="n">
        <v>45573</v>
      </c>
      <c r="C19832" s="1" t="n">
        <v>45586</v>
      </c>
      <c r="D19832" t="inlineStr">
        <is>
          <t>VÄSTRA GÖTALANDS LÄN</t>
        </is>
      </c>
      <c r="E19832" t="inlineStr">
        <is>
          <t>TRANEMO</t>
        </is>
      </c>
      <c r="G19832" t="n">
        <v>6.7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44310-2024</t>
        </is>
      </c>
      <c r="B19833" s="1" t="n">
        <v>45573</v>
      </c>
      <c r="C19833" s="1" t="n">
        <v>45586</v>
      </c>
      <c r="D19833" t="inlineStr">
        <is>
          <t>VÄSTRA GÖTALANDS LÄN</t>
        </is>
      </c>
      <c r="E19833" t="inlineStr">
        <is>
          <t>HJO</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44398-2024</t>
        </is>
      </c>
      <c r="B19834" s="1" t="n">
        <v>45573</v>
      </c>
      <c r="C19834" s="1" t="n">
        <v>45586</v>
      </c>
      <c r="D19834" t="inlineStr">
        <is>
          <t>VÄSTRA GÖTALANDS LÄN</t>
        </is>
      </c>
      <c r="E19834" t="inlineStr">
        <is>
          <t>FÄRGELANDA</t>
        </is>
      </c>
      <c r="G19834" t="n">
        <v>2.2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44279-2024</t>
        </is>
      </c>
      <c r="B19835" s="1" t="n">
        <v>45573</v>
      </c>
      <c r="C19835" s="1" t="n">
        <v>45586</v>
      </c>
      <c r="D19835" t="inlineStr">
        <is>
          <t>VÄSTRA GÖTALANDS LÄN</t>
        </is>
      </c>
      <c r="E19835" t="inlineStr">
        <is>
          <t>TRANEMO</t>
        </is>
      </c>
      <c r="F19835" t="inlineStr">
        <is>
          <t>Sveaskog</t>
        </is>
      </c>
      <c r="G19835" t="n">
        <v>0.6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44288-2024</t>
        </is>
      </c>
      <c r="B19836" s="1" t="n">
        <v>45573</v>
      </c>
      <c r="C19836" s="1" t="n">
        <v>45586</v>
      </c>
      <c r="D19836" t="inlineStr">
        <is>
          <t>VÄSTRA GÖTALANDS LÄN</t>
        </is>
      </c>
      <c r="E19836" t="inlineStr">
        <is>
          <t>BENGTSFORS</t>
        </is>
      </c>
      <c r="G19836" t="n">
        <v>2.1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44291-2024</t>
        </is>
      </c>
      <c r="B19837" s="1" t="n">
        <v>45573</v>
      </c>
      <c r="C19837" s="1" t="n">
        <v>45586</v>
      </c>
      <c r="D19837" t="inlineStr">
        <is>
          <t>VÄSTRA GÖTALANDS LÄN</t>
        </is>
      </c>
      <c r="E19837" t="inlineStr">
        <is>
          <t>VÅRGÅRDA</t>
        </is>
      </c>
      <c r="G19837" t="n">
        <v>3.2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44295-2024</t>
        </is>
      </c>
      <c r="B19838" s="1" t="n">
        <v>45573</v>
      </c>
      <c r="C19838" s="1" t="n">
        <v>45586</v>
      </c>
      <c r="D19838" t="inlineStr">
        <is>
          <t>VÄSTRA GÖTALANDS LÄN</t>
        </is>
      </c>
      <c r="E19838" t="inlineStr">
        <is>
          <t>TRANEMO</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44387-2024</t>
        </is>
      </c>
      <c r="B19839" s="1" t="n">
        <v>45573</v>
      </c>
      <c r="C19839" s="1" t="n">
        <v>45586</v>
      </c>
      <c r="D19839" t="inlineStr">
        <is>
          <t>VÄSTRA GÖTALANDS LÄN</t>
        </is>
      </c>
      <c r="E19839" t="inlineStr">
        <is>
          <t>GULLSPÅNG</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44395-2024</t>
        </is>
      </c>
      <c r="B19840" s="1" t="n">
        <v>45573</v>
      </c>
      <c r="C19840" s="1" t="n">
        <v>45586</v>
      </c>
      <c r="D19840" t="inlineStr">
        <is>
          <t>VÄSTRA GÖTALANDS LÄN</t>
        </is>
      </c>
      <c r="E19840" t="inlineStr">
        <is>
          <t>FÄRGELANDA</t>
        </is>
      </c>
      <c r="G19840" t="n">
        <v>6.6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44399-2024</t>
        </is>
      </c>
      <c r="B19841" s="1" t="n">
        <v>45573</v>
      </c>
      <c r="C19841" s="1" t="n">
        <v>45586</v>
      </c>
      <c r="D19841" t="inlineStr">
        <is>
          <t>VÄSTRA GÖTALANDS LÄN</t>
        </is>
      </c>
      <c r="E19841" t="inlineStr">
        <is>
          <t>FÄRGELANDA</t>
        </is>
      </c>
      <c r="G19841" t="n">
        <v>6.6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44396-2024</t>
        </is>
      </c>
      <c r="B19842" s="1" t="n">
        <v>45573</v>
      </c>
      <c r="C19842" s="1" t="n">
        <v>45586</v>
      </c>
      <c r="D19842" t="inlineStr">
        <is>
          <t>VÄSTRA GÖTALANDS LÄN</t>
        </is>
      </c>
      <c r="E19842" t="inlineStr">
        <is>
          <t>GULLSPÅNG</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44404-2024</t>
        </is>
      </c>
      <c r="B19843" s="1" t="n">
        <v>45573</v>
      </c>
      <c r="C19843" s="1" t="n">
        <v>45586</v>
      </c>
      <c r="D19843" t="inlineStr">
        <is>
          <t>VÄSTRA GÖTALANDS LÄN</t>
        </is>
      </c>
      <c r="E19843" t="inlineStr">
        <is>
          <t>ULRICEHAMN</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44421-2024</t>
        </is>
      </c>
      <c r="B19844" s="1" t="n">
        <v>45573</v>
      </c>
      <c r="C19844" s="1" t="n">
        <v>45586</v>
      </c>
      <c r="D19844" t="inlineStr">
        <is>
          <t>VÄSTRA GÖTALANDS LÄN</t>
        </is>
      </c>
      <c r="E19844" t="inlineStr">
        <is>
          <t>VÅRGÅRDA</t>
        </is>
      </c>
      <c r="G19844" t="n">
        <v>4.3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44268-2024</t>
        </is>
      </c>
      <c r="B19845" s="1" t="n">
        <v>45573</v>
      </c>
      <c r="C19845" s="1" t="n">
        <v>45586</v>
      </c>
      <c r="D19845" t="inlineStr">
        <is>
          <t>VÄSTRA GÖTALANDS LÄN</t>
        </is>
      </c>
      <c r="E19845" t="inlineStr">
        <is>
          <t>VARA</t>
        </is>
      </c>
      <c r="F19845" t="inlineStr">
        <is>
          <t>Sveaskog</t>
        </is>
      </c>
      <c r="G19845" t="n">
        <v>17.4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44301-2024</t>
        </is>
      </c>
      <c r="B19846" s="1" t="n">
        <v>45573</v>
      </c>
      <c r="C19846" s="1" t="n">
        <v>45586</v>
      </c>
      <c r="D19846" t="inlineStr">
        <is>
          <t>VÄSTRA GÖTALANDS LÄN</t>
        </is>
      </c>
      <c r="E19846" t="inlineStr">
        <is>
          <t>ULRICEHAMN</t>
        </is>
      </c>
      <c r="G19846" t="n">
        <v>3.7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44393-2024</t>
        </is>
      </c>
      <c r="B19847" s="1" t="n">
        <v>45573</v>
      </c>
      <c r="C19847" s="1" t="n">
        <v>45586</v>
      </c>
      <c r="D19847" t="inlineStr">
        <is>
          <t>VÄSTRA GÖTALANDS LÄN</t>
        </is>
      </c>
      <c r="E19847" t="inlineStr">
        <is>
          <t>GULLSPÅNG</t>
        </is>
      </c>
      <c r="G19847" t="n">
        <v>4.7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44417-2024</t>
        </is>
      </c>
      <c r="B19848" s="1" t="n">
        <v>45573</v>
      </c>
      <c r="C19848" s="1" t="n">
        <v>45586</v>
      </c>
      <c r="D19848" t="inlineStr">
        <is>
          <t>VÄSTRA GÖTALANDS LÄN</t>
        </is>
      </c>
      <c r="E19848" t="inlineStr">
        <is>
          <t>ORUST</t>
        </is>
      </c>
      <c r="G19848" t="n">
        <v>3.1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44402-2024</t>
        </is>
      </c>
      <c r="B19849" s="1" t="n">
        <v>45573</v>
      </c>
      <c r="C19849" s="1" t="n">
        <v>45586</v>
      </c>
      <c r="D19849" t="inlineStr">
        <is>
          <t>VÄSTRA GÖTALANDS LÄN</t>
        </is>
      </c>
      <c r="E19849" t="inlineStr">
        <is>
          <t>ULRICEHAMN</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44455-2024</t>
        </is>
      </c>
      <c r="B19850" s="1" t="n">
        <v>45574</v>
      </c>
      <c r="C19850" s="1" t="n">
        <v>45586</v>
      </c>
      <c r="D19850" t="inlineStr">
        <is>
          <t>VÄSTRA GÖTALANDS LÄN</t>
        </is>
      </c>
      <c r="E19850" t="inlineStr">
        <is>
          <t>BENGTSFORS</t>
        </is>
      </c>
      <c r="G19850" t="n">
        <v>6.1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44472-2024</t>
        </is>
      </c>
      <c r="B19851" s="1" t="n">
        <v>45574</v>
      </c>
      <c r="C19851" s="1" t="n">
        <v>45586</v>
      </c>
      <c r="D19851" t="inlineStr">
        <is>
          <t>VÄSTRA GÖTALANDS LÄN</t>
        </is>
      </c>
      <c r="E19851" t="inlineStr">
        <is>
          <t>BENGTSFORS</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44476-2024</t>
        </is>
      </c>
      <c r="B19852" s="1" t="n">
        <v>45574</v>
      </c>
      <c r="C19852" s="1" t="n">
        <v>45586</v>
      </c>
      <c r="D19852" t="inlineStr">
        <is>
          <t>VÄSTRA GÖTALANDS LÄN</t>
        </is>
      </c>
      <c r="E19852" t="inlineStr">
        <is>
          <t>HJO</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44488-2024</t>
        </is>
      </c>
      <c r="B19853" s="1" t="n">
        <v>45574</v>
      </c>
      <c r="C19853" s="1" t="n">
        <v>45586</v>
      </c>
      <c r="D19853" t="inlineStr">
        <is>
          <t>VÄSTRA GÖTALANDS LÄN</t>
        </is>
      </c>
      <c r="E19853" t="inlineStr">
        <is>
          <t>TANUM</t>
        </is>
      </c>
      <c r="G19853" t="n">
        <v>15.6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44508-2024</t>
        </is>
      </c>
      <c r="B19854" s="1" t="n">
        <v>45574</v>
      </c>
      <c r="C19854" s="1" t="n">
        <v>45586</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44454-2024</t>
        </is>
      </c>
      <c r="B19855" s="1" t="n">
        <v>45574</v>
      </c>
      <c r="C19855" s="1" t="n">
        <v>45586</v>
      </c>
      <c r="D19855" t="inlineStr">
        <is>
          <t>VÄSTRA GÖTALANDS LÄN</t>
        </is>
      </c>
      <c r="E19855" t="inlineStr">
        <is>
          <t>DALS-ED</t>
        </is>
      </c>
      <c r="F19855" t="inlineStr">
        <is>
          <t>Kommuner</t>
        </is>
      </c>
      <c r="G19855" t="n">
        <v>10.8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44458-2024</t>
        </is>
      </c>
      <c r="B19856" s="1" t="n">
        <v>45574</v>
      </c>
      <c r="C19856" s="1" t="n">
        <v>45586</v>
      </c>
      <c r="D19856" t="inlineStr">
        <is>
          <t>VÄSTRA GÖTALANDS LÄN</t>
        </is>
      </c>
      <c r="E19856" t="inlineStr">
        <is>
          <t>DALS-ED</t>
        </is>
      </c>
      <c r="G19856" t="n">
        <v>2.2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44528-2024</t>
        </is>
      </c>
      <c r="B19857" s="1" t="n">
        <v>45574</v>
      </c>
      <c r="C19857" s="1" t="n">
        <v>45586</v>
      </c>
      <c r="D19857" t="inlineStr">
        <is>
          <t>VÄSTRA GÖTALANDS LÄN</t>
        </is>
      </c>
      <c r="E19857" t="inlineStr">
        <is>
          <t>TANUM</t>
        </is>
      </c>
      <c r="G19857" t="n">
        <v>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44536-2024</t>
        </is>
      </c>
      <c r="B19858" s="1" t="n">
        <v>45574</v>
      </c>
      <c r="C19858" s="1" t="n">
        <v>45586</v>
      </c>
      <c r="D19858" t="inlineStr">
        <is>
          <t>VÄSTRA GÖTALANDS LÄN</t>
        </is>
      </c>
      <c r="E19858" t="inlineStr">
        <is>
          <t>LYSEKIL</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44517-2024</t>
        </is>
      </c>
      <c r="B19859" s="1" t="n">
        <v>45574</v>
      </c>
      <c r="C19859" s="1" t="n">
        <v>45586</v>
      </c>
      <c r="D19859" t="inlineStr">
        <is>
          <t>VÄSTRA GÖTALANDS LÄN</t>
        </is>
      </c>
      <c r="E19859" t="inlineStr">
        <is>
          <t>DALS-ED</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44521-2024</t>
        </is>
      </c>
      <c r="B19860" s="1" t="n">
        <v>45574</v>
      </c>
      <c r="C19860" s="1" t="n">
        <v>45586</v>
      </c>
      <c r="D19860" t="inlineStr">
        <is>
          <t>VÄSTRA GÖTALANDS LÄN</t>
        </is>
      </c>
      <c r="E19860" t="inlineStr">
        <is>
          <t>BENGTSFORS</t>
        </is>
      </c>
      <c r="G19860" t="n">
        <v>8.4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44573-2024</t>
        </is>
      </c>
      <c r="B19861" s="1" t="n">
        <v>45574</v>
      </c>
      <c r="C19861" s="1" t="n">
        <v>45586</v>
      </c>
      <c r="D19861" t="inlineStr">
        <is>
          <t>VÄSTRA GÖTALANDS LÄN</t>
        </is>
      </c>
      <c r="E19861" t="inlineStr">
        <is>
          <t>MARK</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44754-2024</t>
        </is>
      </c>
      <c r="B19862" s="1" t="n">
        <v>45574</v>
      </c>
      <c r="C19862" s="1" t="n">
        <v>45586</v>
      </c>
      <c r="D19862" t="inlineStr">
        <is>
          <t>VÄSTRA GÖTALANDS LÄN</t>
        </is>
      </c>
      <c r="E19862" t="inlineStr">
        <is>
          <t>ORUST</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44812-2024</t>
        </is>
      </c>
      <c r="B19863" s="1" t="n">
        <v>45574</v>
      </c>
      <c r="C19863" s="1" t="n">
        <v>45586</v>
      </c>
      <c r="D19863" t="inlineStr">
        <is>
          <t>VÄSTRA GÖTALANDS LÄN</t>
        </is>
      </c>
      <c r="E19863" t="inlineStr">
        <is>
          <t>BENGTSFORS</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44816-2024</t>
        </is>
      </c>
      <c r="B19864" s="1" t="n">
        <v>45574</v>
      </c>
      <c r="C19864" s="1" t="n">
        <v>45586</v>
      </c>
      <c r="D19864" t="inlineStr">
        <is>
          <t>VÄSTRA GÖTALANDS LÄN</t>
        </is>
      </c>
      <c r="E19864" t="inlineStr">
        <is>
          <t>BENGTSFORS</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44840-2024</t>
        </is>
      </c>
      <c r="B19865" s="1" t="n">
        <v>45574</v>
      </c>
      <c r="C19865" s="1" t="n">
        <v>45586</v>
      </c>
      <c r="D19865" t="inlineStr">
        <is>
          <t>VÄSTRA GÖTALANDS LÄN</t>
        </is>
      </c>
      <c r="E19865" t="inlineStr">
        <is>
          <t>TRANEMO</t>
        </is>
      </c>
      <c r="G19865" t="n">
        <v>1.7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44844-2024</t>
        </is>
      </c>
      <c r="B19866" s="1" t="n">
        <v>45574</v>
      </c>
      <c r="C19866" s="1" t="n">
        <v>45586</v>
      </c>
      <c r="D19866" t="inlineStr">
        <is>
          <t>VÄSTRA GÖTALANDS LÄN</t>
        </is>
      </c>
      <c r="E19866" t="inlineStr">
        <is>
          <t>TRANEMO</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44848-2024</t>
        </is>
      </c>
      <c r="B19867" s="1" t="n">
        <v>45574</v>
      </c>
      <c r="C19867" s="1" t="n">
        <v>45586</v>
      </c>
      <c r="D19867" t="inlineStr">
        <is>
          <t>VÄSTRA GÖTALANDS LÄN</t>
        </is>
      </c>
      <c r="E19867" t="inlineStr">
        <is>
          <t>LIDKÖPING</t>
        </is>
      </c>
      <c r="G19867" t="n">
        <v>3.4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44849-2024</t>
        </is>
      </c>
      <c r="B19868" s="1" t="n">
        <v>45574</v>
      </c>
      <c r="C19868" s="1" t="n">
        <v>45586</v>
      </c>
      <c r="D19868" t="inlineStr">
        <is>
          <t>VÄSTRA GÖTALANDS LÄN</t>
        </is>
      </c>
      <c r="E19868" t="inlineStr">
        <is>
          <t>LIDKÖPING</t>
        </is>
      </c>
      <c r="G19868" t="n">
        <v>3.8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44753-2024</t>
        </is>
      </c>
      <c r="B19869" s="1" t="n">
        <v>45574</v>
      </c>
      <c r="C19869" s="1" t="n">
        <v>45586</v>
      </c>
      <c r="D19869" t="inlineStr">
        <is>
          <t>VÄSTRA GÖTALANDS LÄN</t>
        </is>
      </c>
      <c r="E19869" t="inlineStr">
        <is>
          <t>GULLSPÅNG</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44805-2024</t>
        </is>
      </c>
      <c r="B19870" s="1" t="n">
        <v>45574</v>
      </c>
      <c r="C19870" s="1" t="n">
        <v>45586</v>
      </c>
      <c r="D19870" t="inlineStr">
        <is>
          <t>VÄSTRA GÖTALANDS LÄN</t>
        </is>
      </c>
      <c r="E19870" t="inlineStr">
        <is>
          <t>FALKÖPING</t>
        </is>
      </c>
      <c r="G19870" t="n">
        <v>4.8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44700-2024</t>
        </is>
      </c>
      <c r="B19871" s="1" t="n">
        <v>45574</v>
      </c>
      <c r="C19871" s="1" t="n">
        <v>45586</v>
      </c>
      <c r="D19871" t="inlineStr">
        <is>
          <t>VÄSTRA GÖTALANDS LÄN</t>
        </is>
      </c>
      <c r="E19871" t="inlineStr">
        <is>
          <t>FALKÖPING</t>
        </is>
      </c>
      <c r="F19871" t="inlineStr">
        <is>
          <t>Sveaskog</t>
        </is>
      </c>
      <c r="G19871" t="n">
        <v>7.9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44756-2024</t>
        </is>
      </c>
      <c r="B19872" s="1" t="n">
        <v>45574</v>
      </c>
      <c r="C19872" s="1" t="n">
        <v>45586</v>
      </c>
      <c r="D19872" t="inlineStr">
        <is>
          <t>VÄSTRA GÖTALANDS LÄN</t>
        </is>
      </c>
      <c r="E19872" t="inlineStr">
        <is>
          <t>TRANEMO</t>
        </is>
      </c>
      <c r="F19872" t="inlineStr">
        <is>
          <t>Sveaskog</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44846-2024</t>
        </is>
      </c>
      <c r="B19873" s="1" t="n">
        <v>45574</v>
      </c>
      <c r="C19873" s="1" t="n">
        <v>45586</v>
      </c>
      <c r="D19873" t="inlineStr">
        <is>
          <t>VÄSTRA GÖTALANDS LÄN</t>
        </is>
      </c>
      <c r="E19873" t="inlineStr">
        <is>
          <t>FÄRGELANDA</t>
        </is>
      </c>
      <c r="G19873" t="n">
        <v>0</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44873-2024</t>
        </is>
      </c>
      <c r="B19874" s="1" t="n">
        <v>45575</v>
      </c>
      <c r="C19874" s="1" t="n">
        <v>45586</v>
      </c>
      <c r="D19874" t="inlineStr">
        <is>
          <t>VÄSTRA GÖTALANDS LÄN</t>
        </is>
      </c>
      <c r="E19874" t="inlineStr">
        <is>
          <t>TRANEMO</t>
        </is>
      </c>
      <c r="G19874" t="n">
        <v>4.8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44871-2024</t>
        </is>
      </c>
      <c r="B19875" s="1" t="n">
        <v>45575</v>
      </c>
      <c r="C19875" s="1" t="n">
        <v>45586</v>
      </c>
      <c r="D19875" t="inlineStr">
        <is>
          <t>VÄSTRA GÖTALANDS LÄN</t>
        </is>
      </c>
      <c r="E19875" t="inlineStr">
        <is>
          <t>TRANEMO</t>
        </is>
      </c>
      <c r="G19875" t="n">
        <v>3.4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44890-2024</t>
        </is>
      </c>
      <c r="B19876" s="1" t="n">
        <v>45575</v>
      </c>
      <c r="C19876" s="1" t="n">
        <v>45586</v>
      </c>
      <c r="D19876" t="inlineStr">
        <is>
          <t>VÄSTRA GÖTALANDS LÄN</t>
        </is>
      </c>
      <c r="E19876" t="inlineStr">
        <is>
          <t>ULRICEHAMN</t>
        </is>
      </c>
      <c r="F19876" t="inlineStr">
        <is>
          <t>Sveaskog</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44887-2024</t>
        </is>
      </c>
      <c r="B19877" s="1" t="n">
        <v>45575</v>
      </c>
      <c r="C19877" s="1" t="n">
        <v>45586</v>
      </c>
      <c r="D19877" t="inlineStr">
        <is>
          <t>VÄSTRA GÖTALANDS LÄN</t>
        </is>
      </c>
      <c r="E19877" t="inlineStr">
        <is>
          <t>DALS-ED</t>
        </is>
      </c>
      <c r="G19877" t="n">
        <v>1.5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44956-2024</t>
        </is>
      </c>
      <c r="B19878" s="1" t="n">
        <v>45575</v>
      </c>
      <c r="C19878" s="1" t="n">
        <v>45586</v>
      </c>
      <c r="D19878" t="inlineStr">
        <is>
          <t>VÄSTRA GÖTALANDS LÄN</t>
        </is>
      </c>
      <c r="E19878" t="inlineStr">
        <is>
          <t>BORÅS</t>
        </is>
      </c>
      <c r="G19878" t="n">
        <v>0.3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44933-2024</t>
        </is>
      </c>
      <c r="B19879" s="1" t="n">
        <v>45575</v>
      </c>
      <c r="C19879" s="1" t="n">
        <v>45586</v>
      </c>
      <c r="D19879" t="inlineStr">
        <is>
          <t>VÄSTRA GÖTALANDS LÄN</t>
        </is>
      </c>
      <c r="E19879" t="inlineStr">
        <is>
          <t>MELLERUD</t>
        </is>
      </c>
      <c r="G19879" t="n">
        <v>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44945-2024</t>
        </is>
      </c>
      <c r="B19880" s="1" t="n">
        <v>45575</v>
      </c>
      <c r="C19880" s="1" t="n">
        <v>45586</v>
      </c>
      <c r="D19880" t="inlineStr">
        <is>
          <t>VÄSTRA GÖTALANDS LÄN</t>
        </is>
      </c>
      <c r="E19880" t="inlineStr">
        <is>
          <t>KARLSBORG</t>
        </is>
      </c>
      <c r="F19880" t="inlineStr">
        <is>
          <t>Kyrkan</t>
        </is>
      </c>
      <c r="G19880" t="n">
        <v>3.8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44988-2024</t>
        </is>
      </c>
      <c r="B19881" s="1" t="n">
        <v>45575</v>
      </c>
      <c r="C19881" s="1" t="n">
        <v>45586</v>
      </c>
      <c r="D19881" t="inlineStr">
        <is>
          <t>VÄSTRA GÖTALANDS LÄN</t>
        </is>
      </c>
      <c r="E19881" t="inlineStr">
        <is>
          <t>BORÅS</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45001-2024</t>
        </is>
      </c>
      <c r="B19882" s="1" t="n">
        <v>45575</v>
      </c>
      <c r="C19882" s="1" t="n">
        <v>45586</v>
      </c>
      <c r="D19882" t="inlineStr">
        <is>
          <t>VÄSTRA GÖTALANDS LÄN</t>
        </is>
      </c>
      <c r="E19882" t="inlineStr">
        <is>
          <t>BENGTSFORS</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45013-2024</t>
        </is>
      </c>
      <c r="B19883" s="1" t="n">
        <v>45575</v>
      </c>
      <c r="C19883" s="1" t="n">
        <v>45586</v>
      </c>
      <c r="D19883" t="inlineStr">
        <is>
          <t>VÄSTRA GÖTALANDS LÄN</t>
        </is>
      </c>
      <c r="E19883" t="inlineStr">
        <is>
          <t>LIDKÖPING</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45018-2024</t>
        </is>
      </c>
      <c r="B19884" s="1" t="n">
        <v>45575</v>
      </c>
      <c r="C19884" s="1" t="n">
        <v>45586</v>
      </c>
      <c r="D19884" t="inlineStr">
        <is>
          <t>VÄSTRA GÖTALANDS LÄN</t>
        </is>
      </c>
      <c r="E19884" t="inlineStr">
        <is>
          <t>MARK</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44949-2024</t>
        </is>
      </c>
      <c r="B19885" s="1" t="n">
        <v>45575</v>
      </c>
      <c r="C19885" s="1" t="n">
        <v>45586</v>
      </c>
      <c r="D19885" t="inlineStr">
        <is>
          <t>VÄSTRA GÖTALANDS LÄN</t>
        </is>
      </c>
      <c r="E19885" t="inlineStr">
        <is>
          <t>KARLSBORG</t>
        </is>
      </c>
      <c r="F19885" t="inlineStr">
        <is>
          <t>Kyrkan</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44985-2024</t>
        </is>
      </c>
      <c r="B19886" s="1" t="n">
        <v>45575</v>
      </c>
      <c r="C19886" s="1" t="n">
        <v>45586</v>
      </c>
      <c r="D19886" t="inlineStr">
        <is>
          <t>VÄSTRA GÖTALANDS LÄN</t>
        </is>
      </c>
      <c r="E19886" t="inlineStr">
        <is>
          <t>KARLSBORG</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45002-2024</t>
        </is>
      </c>
      <c r="B19887" s="1" t="n">
        <v>45575</v>
      </c>
      <c r="C19887" s="1" t="n">
        <v>45586</v>
      </c>
      <c r="D19887" t="inlineStr">
        <is>
          <t>VÄSTRA GÖTALANDS LÄN</t>
        </is>
      </c>
      <c r="E19887" t="inlineStr">
        <is>
          <t>GULLSPÅNG</t>
        </is>
      </c>
      <c r="G19887" t="n">
        <v>3.2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45019-2024</t>
        </is>
      </c>
      <c r="B19888" s="1" t="n">
        <v>45575</v>
      </c>
      <c r="C19888" s="1" t="n">
        <v>45586</v>
      </c>
      <c r="D19888" t="inlineStr">
        <is>
          <t>VÄSTRA GÖTALANDS LÄN</t>
        </is>
      </c>
      <c r="E19888" t="inlineStr">
        <is>
          <t>KARLSBORG</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45083-2024</t>
        </is>
      </c>
      <c r="B19889" s="1" t="n">
        <v>45575</v>
      </c>
      <c r="C19889" s="1" t="n">
        <v>45586</v>
      </c>
      <c r="D19889" t="inlineStr">
        <is>
          <t>VÄSTRA GÖTALANDS LÄN</t>
        </is>
      </c>
      <c r="E19889" t="inlineStr">
        <is>
          <t>MUNKEDAL</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45133-2024</t>
        </is>
      </c>
      <c r="B19890" s="1" t="n">
        <v>45575</v>
      </c>
      <c r="C19890" s="1" t="n">
        <v>45586</v>
      </c>
      <c r="D19890" t="inlineStr">
        <is>
          <t>VÄSTRA GÖTALANDS LÄN</t>
        </is>
      </c>
      <c r="E19890" t="inlineStr">
        <is>
          <t>BENGTSFORS</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45145-2024</t>
        </is>
      </c>
      <c r="B19891" s="1" t="n">
        <v>45575</v>
      </c>
      <c r="C19891" s="1" t="n">
        <v>45586</v>
      </c>
      <c r="D19891" t="inlineStr">
        <is>
          <t>VÄSTRA GÖTALANDS LÄN</t>
        </is>
      </c>
      <c r="E19891" t="inlineStr">
        <is>
          <t>UDDEVALLA</t>
        </is>
      </c>
      <c r="G19891" t="n">
        <v>2.2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44864-2024</t>
        </is>
      </c>
      <c r="B19892" s="1" t="n">
        <v>45575</v>
      </c>
      <c r="C19892" s="1" t="n">
        <v>45586</v>
      </c>
      <c r="D19892" t="inlineStr">
        <is>
          <t>VÄSTRA GÖTALANDS LÄN</t>
        </is>
      </c>
      <c r="E19892" t="inlineStr">
        <is>
          <t>MUNKEDAL</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44884-2024</t>
        </is>
      </c>
      <c r="B19893" s="1" t="n">
        <v>45575</v>
      </c>
      <c r="C19893" s="1" t="n">
        <v>45586</v>
      </c>
      <c r="D19893" t="inlineStr">
        <is>
          <t>VÄSTRA GÖTALANDS LÄN</t>
        </is>
      </c>
      <c r="E19893" t="inlineStr">
        <is>
          <t>ULRICEHAMN</t>
        </is>
      </c>
      <c r="F19893" t="inlineStr">
        <is>
          <t>Sveaskog</t>
        </is>
      </c>
      <c r="G19893" t="n">
        <v>11.6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44927-2024</t>
        </is>
      </c>
      <c r="B19894" s="1" t="n">
        <v>45575</v>
      </c>
      <c r="C19894" s="1" t="n">
        <v>45586</v>
      </c>
      <c r="D19894" t="inlineStr">
        <is>
          <t>VÄSTRA GÖTALANDS LÄN</t>
        </is>
      </c>
      <c r="E19894" t="inlineStr">
        <is>
          <t>KARLSBORG</t>
        </is>
      </c>
      <c r="F19894" t="inlineStr">
        <is>
          <t>Kyrkan</t>
        </is>
      </c>
      <c r="G19894" t="n">
        <v>1.5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44947-2024</t>
        </is>
      </c>
      <c r="B19895" s="1" t="n">
        <v>45575</v>
      </c>
      <c r="C19895" s="1" t="n">
        <v>45586</v>
      </c>
      <c r="D19895" t="inlineStr">
        <is>
          <t>VÄSTRA GÖTALANDS LÄN</t>
        </is>
      </c>
      <c r="E19895" t="inlineStr">
        <is>
          <t>VARA</t>
        </is>
      </c>
      <c r="F19895" t="inlineStr">
        <is>
          <t>Sveaskog</t>
        </is>
      </c>
      <c r="G19895" t="n">
        <v>2.3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44999-2024</t>
        </is>
      </c>
      <c r="B19896" s="1" t="n">
        <v>45575</v>
      </c>
      <c r="C19896" s="1" t="n">
        <v>45586</v>
      </c>
      <c r="D19896" t="inlineStr">
        <is>
          <t>VÄSTRA GÖTALANDS LÄN</t>
        </is>
      </c>
      <c r="E19896" t="inlineStr">
        <is>
          <t>KARLSBORG</t>
        </is>
      </c>
      <c r="F19896" t="inlineStr">
        <is>
          <t>Kyrkan</t>
        </is>
      </c>
      <c r="G19896" t="n">
        <v>3.3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45008-2024</t>
        </is>
      </c>
      <c r="B19897" s="1" t="n">
        <v>45575</v>
      </c>
      <c r="C19897" s="1" t="n">
        <v>45586</v>
      </c>
      <c r="D19897" t="inlineStr">
        <is>
          <t>VÄSTRA GÖTALANDS LÄN</t>
        </is>
      </c>
      <c r="E19897" t="inlineStr">
        <is>
          <t>KARLSBORG</t>
        </is>
      </c>
      <c r="F19897" t="inlineStr">
        <is>
          <t>Kyrkan</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45140-2024</t>
        </is>
      </c>
      <c r="B19898" s="1" t="n">
        <v>45575</v>
      </c>
      <c r="C19898" s="1" t="n">
        <v>45586</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45149-2024</t>
        </is>
      </c>
      <c r="B19899" s="1" t="n">
        <v>45575</v>
      </c>
      <c r="C19899" s="1" t="n">
        <v>45586</v>
      </c>
      <c r="D19899" t="inlineStr">
        <is>
          <t>VÄSTRA GÖTALANDS LÄN</t>
        </is>
      </c>
      <c r="E19899" t="inlineStr">
        <is>
          <t>UDDEVALLA</t>
        </is>
      </c>
      <c r="G19899" t="n">
        <v>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45176-2024</t>
        </is>
      </c>
      <c r="B19900" s="1" t="n">
        <v>45575</v>
      </c>
      <c r="C19900" s="1" t="n">
        <v>45586</v>
      </c>
      <c r="D19900" t="inlineStr">
        <is>
          <t>VÄSTRA GÖTALANDS LÄN</t>
        </is>
      </c>
      <c r="E19900" t="inlineStr">
        <is>
          <t>TRANEMO</t>
        </is>
      </c>
      <c r="F19900" t="inlineStr">
        <is>
          <t>Sveaskog</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45180-2024</t>
        </is>
      </c>
      <c r="B19901" s="1" t="n">
        <v>45575</v>
      </c>
      <c r="C19901" s="1" t="n">
        <v>45586</v>
      </c>
      <c r="D19901" t="inlineStr">
        <is>
          <t>VÄSTRA GÖTALANDS LÄN</t>
        </is>
      </c>
      <c r="E19901" t="inlineStr">
        <is>
          <t>GÖTENE</t>
        </is>
      </c>
      <c r="G19901" t="n">
        <v>14.7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45195-2024</t>
        </is>
      </c>
      <c r="B19902" s="1" t="n">
        <v>45575</v>
      </c>
      <c r="C19902" s="1" t="n">
        <v>45586</v>
      </c>
      <c r="D19902" t="inlineStr">
        <is>
          <t>VÄSTRA GÖTALANDS LÄN</t>
        </is>
      </c>
      <c r="E19902" t="inlineStr">
        <is>
          <t>MARIESTAD</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45207-2024</t>
        </is>
      </c>
      <c r="B19903" s="1" t="n">
        <v>45575</v>
      </c>
      <c r="C19903" s="1" t="n">
        <v>45586</v>
      </c>
      <c r="D19903" t="inlineStr">
        <is>
          <t>VÄSTRA GÖTALANDS LÄN</t>
        </is>
      </c>
      <c r="E19903" t="inlineStr">
        <is>
          <t>ULRICEHAMN</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45226-2024</t>
        </is>
      </c>
      <c r="B19904" s="1" t="n">
        <v>45575</v>
      </c>
      <c r="C19904" s="1" t="n">
        <v>45586</v>
      </c>
      <c r="D19904" t="inlineStr">
        <is>
          <t>VÄSTRA GÖTALANDS LÄN</t>
        </is>
      </c>
      <c r="E19904" t="inlineStr">
        <is>
          <t>TIDAHOLM</t>
        </is>
      </c>
      <c r="G19904" t="n">
        <v>5.3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45234-2024</t>
        </is>
      </c>
      <c r="B19905" s="1" t="n">
        <v>45575</v>
      </c>
      <c r="C19905" s="1" t="n">
        <v>45586</v>
      </c>
      <c r="D19905" t="inlineStr">
        <is>
          <t>VÄSTRA GÖTALANDS LÄN</t>
        </is>
      </c>
      <c r="E19905" t="inlineStr">
        <is>
          <t>VARA</t>
        </is>
      </c>
      <c r="G19905" t="n">
        <v>2.1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44918-2024</t>
        </is>
      </c>
      <c r="B19906" s="1" t="n">
        <v>45575</v>
      </c>
      <c r="C19906" s="1" t="n">
        <v>45586</v>
      </c>
      <c r="D19906" t="inlineStr">
        <is>
          <t>VÄSTRA GÖTALANDS LÄN</t>
        </is>
      </c>
      <c r="E19906" t="inlineStr">
        <is>
          <t>KARLSBORG</t>
        </is>
      </c>
      <c r="F19906" t="inlineStr">
        <is>
          <t>Kyrkan</t>
        </is>
      </c>
      <c r="G19906" t="n">
        <v>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44942-2024</t>
        </is>
      </c>
      <c r="B19907" s="1" t="n">
        <v>45575</v>
      </c>
      <c r="C19907" s="1" t="n">
        <v>45586</v>
      </c>
      <c r="D19907" t="inlineStr">
        <is>
          <t>VÄSTRA GÖTALANDS LÄN</t>
        </is>
      </c>
      <c r="E19907" t="inlineStr">
        <is>
          <t>BENGTSFORS</t>
        </is>
      </c>
      <c r="G19907" t="n">
        <v>6.3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44966-2024</t>
        </is>
      </c>
      <c r="B19908" s="1" t="n">
        <v>45575</v>
      </c>
      <c r="C19908" s="1" t="n">
        <v>45586</v>
      </c>
      <c r="D19908" t="inlineStr">
        <is>
          <t>VÄSTRA GÖTALANDS LÄN</t>
        </is>
      </c>
      <c r="E19908" t="inlineStr">
        <is>
          <t>TANUM</t>
        </is>
      </c>
      <c r="F19908" t="inlineStr">
        <is>
          <t>Naturvårdsverket</t>
        </is>
      </c>
      <c r="G19908" t="n">
        <v>5.9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44970-2024</t>
        </is>
      </c>
      <c r="B19909" s="1" t="n">
        <v>45575</v>
      </c>
      <c r="C19909" s="1" t="n">
        <v>45586</v>
      </c>
      <c r="D19909" t="inlineStr">
        <is>
          <t>VÄSTRA GÖTALANDS LÄN</t>
        </is>
      </c>
      <c r="E19909" t="inlineStr">
        <is>
          <t>BORÅS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44974-2024</t>
        </is>
      </c>
      <c r="B19910" s="1" t="n">
        <v>45575</v>
      </c>
      <c r="C19910" s="1" t="n">
        <v>45586</v>
      </c>
      <c r="D19910" t="inlineStr">
        <is>
          <t>VÄSTRA GÖTALANDS LÄN</t>
        </is>
      </c>
      <c r="E19910" t="inlineStr">
        <is>
          <t>BENGTSFORS</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44982-2024</t>
        </is>
      </c>
      <c r="B19911" s="1" t="n">
        <v>45575</v>
      </c>
      <c r="C19911" s="1" t="n">
        <v>45586</v>
      </c>
      <c r="D19911" t="inlineStr">
        <is>
          <t>VÄSTRA GÖTALANDS LÄN</t>
        </is>
      </c>
      <c r="E19911" t="inlineStr">
        <is>
          <t>BENGTSFORS</t>
        </is>
      </c>
      <c r="G19911" t="n">
        <v>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44986-2024</t>
        </is>
      </c>
      <c r="B19912" s="1" t="n">
        <v>45575</v>
      </c>
      <c r="C19912" s="1" t="n">
        <v>45586</v>
      </c>
      <c r="D19912" t="inlineStr">
        <is>
          <t>VÄSTRA GÖTALANDS LÄN</t>
        </is>
      </c>
      <c r="E19912" t="inlineStr">
        <is>
          <t>SVENLJUNGA</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45086-2024</t>
        </is>
      </c>
      <c r="B19913" s="1" t="n">
        <v>45575</v>
      </c>
      <c r="C19913" s="1" t="n">
        <v>45586</v>
      </c>
      <c r="D19913" t="inlineStr">
        <is>
          <t>VÄSTRA GÖTALANDS LÄN</t>
        </is>
      </c>
      <c r="E19913" t="inlineStr">
        <is>
          <t>ÅMÅL</t>
        </is>
      </c>
      <c r="G19913" t="n">
        <v>1.5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45147-2024</t>
        </is>
      </c>
      <c r="B19914" s="1" t="n">
        <v>45575</v>
      </c>
      <c r="C19914" s="1" t="n">
        <v>45586</v>
      </c>
      <c r="D19914" t="inlineStr">
        <is>
          <t>VÄSTRA GÖTALANDS LÄN</t>
        </is>
      </c>
      <c r="E19914" t="inlineStr">
        <is>
          <t>BENGTSFORS</t>
        </is>
      </c>
      <c r="G19914" t="n">
        <v>3.3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45156-2024</t>
        </is>
      </c>
      <c r="B19915" s="1" t="n">
        <v>45575</v>
      </c>
      <c r="C19915" s="1" t="n">
        <v>45586</v>
      </c>
      <c r="D19915" t="inlineStr">
        <is>
          <t>VÄSTRA GÖTALANDS LÄN</t>
        </is>
      </c>
      <c r="E19915" t="inlineStr">
        <is>
          <t>ALINGSÅS</t>
        </is>
      </c>
      <c r="G19915" t="n">
        <v>2.3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45160-2024</t>
        </is>
      </c>
      <c r="B19916" s="1" t="n">
        <v>45575</v>
      </c>
      <c r="C19916" s="1" t="n">
        <v>45586</v>
      </c>
      <c r="D19916" t="inlineStr">
        <is>
          <t>VÄSTRA GÖTALANDS LÄN</t>
        </is>
      </c>
      <c r="E19916" t="inlineStr">
        <is>
          <t>MUNKEDAL</t>
        </is>
      </c>
      <c r="F19916" t="inlineStr">
        <is>
          <t>Naturvårdsverket</t>
        </is>
      </c>
      <c r="G19916" t="n">
        <v>3.4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45165-2024</t>
        </is>
      </c>
      <c r="B19917" s="1" t="n">
        <v>45575</v>
      </c>
      <c r="C19917" s="1" t="n">
        <v>45586</v>
      </c>
      <c r="D19917" t="inlineStr">
        <is>
          <t>VÄSTRA GÖTALANDS LÄN</t>
        </is>
      </c>
      <c r="E19917" t="inlineStr">
        <is>
          <t>MUNKEDAL</t>
        </is>
      </c>
      <c r="F19917" t="inlineStr">
        <is>
          <t>Naturvårdsverket</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45209-2024</t>
        </is>
      </c>
      <c r="B19918" s="1" t="n">
        <v>45575</v>
      </c>
      <c r="C19918" s="1" t="n">
        <v>45586</v>
      </c>
      <c r="D19918" t="inlineStr">
        <is>
          <t>VÄSTRA GÖTALANDS LÄN</t>
        </is>
      </c>
      <c r="E19918" t="inlineStr">
        <is>
          <t>FÄRGELANDA</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45268-2024</t>
        </is>
      </c>
      <c r="B19919" s="1" t="n">
        <v>45576</v>
      </c>
      <c r="C19919" s="1" t="n">
        <v>45586</v>
      </c>
      <c r="D19919" t="inlineStr">
        <is>
          <t>VÄSTRA GÖTALANDS LÄN</t>
        </is>
      </c>
      <c r="E19919" t="inlineStr">
        <is>
          <t>TIDAHOLM</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45276-2024</t>
        </is>
      </c>
      <c r="B19920" s="1" t="n">
        <v>45576</v>
      </c>
      <c r="C19920" s="1" t="n">
        <v>45586</v>
      </c>
      <c r="D19920" t="inlineStr">
        <is>
          <t>VÄSTRA GÖTALANDS LÄN</t>
        </is>
      </c>
      <c r="E19920" t="inlineStr">
        <is>
          <t>TIDAHOLM</t>
        </is>
      </c>
      <c r="G19920" t="n">
        <v>3.7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45283-2024</t>
        </is>
      </c>
      <c r="B19921" s="1" t="n">
        <v>45576</v>
      </c>
      <c r="C19921" s="1" t="n">
        <v>45586</v>
      </c>
      <c r="D19921" t="inlineStr">
        <is>
          <t>VÄSTRA GÖTALANDS LÄN</t>
        </is>
      </c>
      <c r="E19921" t="inlineStr">
        <is>
          <t>TIDAHOLM</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45295-2024</t>
        </is>
      </c>
      <c r="B19922" s="1" t="n">
        <v>45576</v>
      </c>
      <c r="C19922" s="1" t="n">
        <v>45586</v>
      </c>
      <c r="D19922" t="inlineStr">
        <is>
          <t>VÄSTRA GÖTALANDS LÄN</t>
        </is>
      </c>
      <c r="E19922" t="inlineStr">
        <is>
          <t>TANUM</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45303-2024</t>
        </is>
      </c>
      <c r="B19923" s="1" t="n">
        <v>45576</v>
      </c>
      <c r="C19923" s="1" t="n">
        <v>45586</v>
      </c>
      <c r="D19923" t="inlineStr">
        <is>
          <t>VÄSTRA GÖTALANDS LÄN</t>
        </is>
      </c>
      <c r="E19923" t="inlineStr">
        <is>
          <t>VARA</t>
        </is>
      </c>
      <c r="G19923" t="n">
        <v>8.300000000000001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45328-2024</t>
        </is>
      </c>
      <c r="B19924" s="1" t="n">
        <v>45576</v>
      </c>
      <c r="C19924" s="1" t="n">
        <v>45586</v>
      </c>
      <c r="D19924" t="inlineStr">
        <is>
          <t>VÄSTRA GÖTALANDS LÄN</t>
        </is>
      </c>
      <c r="E19924" t="inlineStr">
        <is>
          <t>ALINGSÅS</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45321-2024</t>
        </is>
      </c>
      <c r="B19925" s="1" t="n">
        <v>45576</v>
      </c>
      <c r="C19925" s="1" t="n">
        <v>45586</v>
      </c>
      <c r="D19925" t="inlineStr">
        <is>
          <t>VÄSTRA GÖTALANDS LÄN</t>
        </is>
      </c>
      <c r="E19925" t="inlineStr">
        <is>
          <t>ALINGSÅS</t>
        </is>
      </c>
      <c r="G19925" t="n">
        <v>0.6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45399-2024</t>
        </is>
      </c>
      <c r="B19926" s="1" t="n">
        <v>45576</v>
      </c>
      <c r="C19926" s="1" t="n">
        <v>45586</v>
      </c>
      <c r="D19926" t="inlineStr">
        <is>
          <t>VÄSTRA GÖTALANDS LÄN</t>
        </is>
      </c>
      <c r="E19926" t="inlineStr">
        <is>
          <t>TANUM</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45464-2024</t>
        </is>
      </c>
      <c r="B19927" s="1" t="n">
        <v>45576</v>
      </c>
      <c r="C19927" s="1" t="n">
        <v>45586</v>
      </c>
      <c r="D19927" t="inlineStr">
        <is>
          <t>VÄSTRA GÖTALANDS LÄN</t>
        </is>
      </c>
      <c r="E19927" t="inlineStr">
        <is>
          <t>TIDAHOLM</t>
        </is>
      </c>
      <c r="G19927" t="n">
        <v>4.1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45468-2024</t>
        </is>
      </c>
      <c r="B19928" s="1" t="n">
        <v>45576</v>
      </c>
      <c r="C19928" s="1" t="n">
        <v>45586</v>
      </c>
      <c r="D19928" t="inlineStr">
        <is>
          <t>VÄSTRA GÖTALANDS LÄN</t>
        </is>
      </c>
      <c r="E19928" t="inlineStr">
        <is>
          <t>TIDAHOLM</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45472-2024</t>
        </is>
      </c>
      <c r="B19929" s="1" t="n">
        <v>45576</v>
      </c>
      <c r="C19929" s="1" t="n">
        <v>45586</v>
      </c>
      <c r="D19929" t="inlineStr">
        <is>
          <t>VÄSTRA GÖTALANDS LÄN</t>
        </is>
      </c>
      <c r="E19929" t="inlineStr">
        <is>
          <t>VARA</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45449-2024</t>
        </is>
      </c>
      <c r="B19930" s="1" t="n">
        <v>45576</v>
      </c>
      <c r="C19930" s="1" t="n">
        <v>45586</v>
      </c>
      <c r="D19930" t="inlineStr">
        <is>
          <t>VÄSTRA GÖTALANDS LÄN</t>
        </is>
      </c>
      <c r="E19930" t="inlineStr">
        <is>
          <t>MARIESTAD</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45469-2024</t>
        </is>
      </c>
      <c r="B19931" s="1" t="n">
        <v>45576</v>
      </c>
      <c r="C19931" s="1" t="n">
        <v>45586</v>
      </c>
      <c r="D19931" t="inlineStr">
        <is>
          <t>VÄSTRA GÖTALANDS LÄN</t>
        </is>
      </c>
      <c r="E19931" t="inlineStr">
        <is>
          <t>LILLA EDET</t>
        </is>
      </c>
      <c r="G19931" t="n">
        <v>7.2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45262-2024</t>
        </is>
      </c>
      <c r="B19932" s="1" t="n">
        <v>45576</v>
      </c>
      <c r="C19932" s="1" t="n">
        <v>45586</v>
      </c>
      <c r="D19932" t="inlineStr">
        <is>
          <t>VÄSTRA GÖTALANDS LÄN</t>
        </is>
      </c>
      <c r="E19932" t="inlineStr">
        <is>
          <t>TANUM</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45278-2024</t>
        </is>
      </c>
      <c r="B19933" s="1" t="n">
        <v>45576</v>
      </c>
      <c r="C19933" s="1" t="n">
        <v>45586</v>
      </c>
      <c r="D19933" t="inlineStr">
        <is>
          <t>VÄSTRA GÖTALANDS LÄN</t>
        </is>
      </c>
      <c r="E19933" t="inlineStr">
        <is>
          <t>BORÅS</t>
        </is>
      </c>
      <c r="G19933" t="n">
        <v>1.8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45323-2024</t>
        </is>
      </c>
      <c r="B19934" s="1" t="n">
        <v>45576</v>
      </c>
      <c r="C19934" s="1" t="n">
        <v>45586</v>
      </c>
      <c r="D19934" t="inlineStr">
        <is>
          <t>VÄSTRA GÖTALANDS LÄN</t>
        </is>
      </c>
      <c r="E19934" t="inlineStr">
        <is>
          <t>ALINGSÅS</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45394-2024</t>
        </is>
      </c>
      <c r="B19935" s="1" t="n">
        <v>45576</v>
      </c>
      <c r="C19935" s="1" t="n">
        <v>45586</v>
      </c>
      <c r="D19935" t="inlineStr">
        <is>
          <t>VÄSTRA GÖTALANDS LÄN</t>
        </is>
      </c>
      <c r="E19935" t="inlineStr">
        <is>
          <t>MUNKEDAL</t>
        </is>
      </c>
      <c r="F19935" t="inlineStr">
        <is>
          <t>Naturvårdsverket</t>
        </is>
      </c>
      <c r="G19935" t="n">
        <v>9.4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45467-2024</t>
        </is>
      </c>
      <c r="B19936" s="1" t="n">
        <v>45576</v>
      </c>
      <c r="C19936" s="1" t="n">
        <v>45586</v>
      </c>
      <c r="D19936" t="inlineStr">
        <is>
          <t>VÄSTRA GÖTALANDS LÄN</t>
        </is>
      </c>
      <c r="E19936" t="inlineStr">
        <is>
          <t>VÄNERSBORG</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45261-2024</t>
        </is>
      </c>
      <c r="B19937" s="1" t="n">
        <v>45576</v>
      </c>
      <c r="C19937" s="1" t="n">
        <v>45586</v>
      </c>
      <c r="D19937" t="inlineStr">
        <is>
          <t>VÄSTRA GÖTALANDS LÄN</t>
        </is>
      </c>
      <c r="E19937" t="inlineStr">
        <is>
          <t>TIDAHOLM</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45305-2024</t>
        </is>
      </c>
      <c r="B19938" s="1" t="n">
        <v>45576</v>
      </c>
      <c r="C19938" s="1" t="n">
        <v>45586</v>
      </c>
      <c r="D19938" t="inlineStr">
        <is>
          <t>VÄSTRA GÖTALANDS LÄN</t>
        </is>
      </c>
      <c r="E19938" t="inlineStr">
        <is>
          <t>VÅRGÅRDA</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45309-2024</t>
        </is>
      </c>
      <c r="B19939" s="1" t="n">
        <v>45576</v>
      </c>
      <c r="C19939" s="1" t="n">
        <v>45586</v>
      </c>
      <c r="D19939" t="inlineStr">
        <is>
          <t>VÄSTRA GÖTALANDS LÄN</t>
        </is>
      </c>
      <c r="E19939" t="inlineStr">
        <is>
          <t>VÅRGÅRDA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45322-2024</t>
        </is>
      </c>
      <c r="B19940" s="1" t="n">
        <v>45576</v>
      </c>
      <c r="C19940" s="1" t="n">
        <v>45586</v>
      </c>
      <c r="D19940" t="inlineStr">
        <is>
          <t>VÄSTRA GÖTALANDS LÄN</t>
        </is>
      </c>
      <c r="E19940" t="inlineStr">
        <is>
          <t>ALINGSÅS</t>
        </is>
      </c>
      <c r="G19940" t="n">
        <v>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45351-2024</t>
        </is>
      </c>
      <c r="B19941" s="1" t="n">
        <v>45576</v>
      </c>
      <c r="C19941" s="1" t="n">
        <v>45586</v>
      </c>
      <c r="D19941" t="inlineStr">
        <is>
          <t>VÄSTRA GÖTALANDS LÄN</t>
        </is>
      </c>
      <c r="E19941" t="inlineStr">
        <is>
          <t>MARK</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45486-2024</t>
        </is>
      </c>
      <c r="B19942" s="1" t="n">
        <v>45577</v>
      </c>
      <c r="C19942" s="1" t="n">
        <v>45586</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45488-2024</t>
        </is>
      </c>
      <c r="B19943" s="1" t="n">
        <v>45577</v>
      </c>
      <c r="C19943" s="1" t="n">
        <v>45586</v>
      </c>
      <c r="D19943" t="inlineStr">
        <is>
          <t>VÄSTRA GÖTALANDS LÄN</t>
        </is>
      </c>
      <c r="E19943" t="inlineStr">
        <is>
          <t>BORÅS</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45485-2024</t>
        </is>
      </c>
      <c r="B19944" s="1" t="n">
        <v>45577</v>
      </c>
      <c r="C19944" s="1" t="n">
        <v>45586</v>
      </c>
      <c r="D19944" t="inlineStr">
        <is>
          <t>VÄSTRA GÖTALANDS LÄN</t>
        </is>
      </c>
      <c r="E19944" t="inlineStr">
        <is>
          <t>BORÅS</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45489-2024</t>
        </is>
      </c>
      <c r="B19945" s="1" t="n">
        <v>45577</v>
      </c>
      <c r="C19945" s="1" t="n">
        <v>45586</v>
      </c>
      <c r="D19945" t="inlineStr">
        <is>
          <t>VÄSTRA GÖTALANDS LÄN</t>
        </is>
      </c>
      <c r="E19945" t="inlineStr">
        <is>
          <t>TRANEMO</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45487-2024</t>
        </is>
      </c>
      <c r="B19946" s="1" t="n">
        <v>45577</v>
      </c>
      <c r="C19946" s="1" t="n">
        <v>45586</v>
      </c>
      <c r="D19946" t="inlineStr">
        <is>
          <t>VÄSTRA GÖTALANDS LÄN</t>
        </is>
      </c>
      <c r="E19946" t="inlineStr">
        <is>
          <t>BORÅS</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45523-2024</t>
        </is>
      </c>
      <c r="B19947" s="1" t="n">
        <v>45578</v>
      </c>
      <c r="C19947" s="1" t="n">
        <v>45586</v>
      </c>
      <c r="D19947" t="inlineStr">
        <is>
          <t>VÄSTRA GÖTALANDS LÄN</t>
        </is>
      </c>
      <c r="E19947" t="inlineStr">
        <is>
          <t>ULRICEHAMN</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45517-2024</t>
        </is>
      </c>
      <c r="B19948" s="1" t="n">
        <v>45578</v>
      </c>
      <c r="C19948" s="1" t="n">
        <v>45586</v>
      </c>
      <c r="D19948" t="inlineStr">
        <is>
          <t>VÄSTRA GÖTALANDS LÄN</t>
        </is>
      </c>
      <c r="E19948" t="inlineStr">
        <is>
          <t>BORÅS</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45506-2024</t>
        </is>
      </c>
      <c r="B19949" s="1" t="n">
        <v>45578</v>
      </c>
      <c r="C19949" s="1" t="n">
        <v>45586</v>
      </c>
      <c r="D19949" t="inlineStr">
        <is>
          <t>VÄSTRA GÖTALANDS LÄN</t>
        </is>
      </c>
      <c r="E19949" t="inlineStr">
        <is>
          <t>DALS-ED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45522-2024</t>
        </is>
      </c>
      <c r="B19950" s="1" t="n">
        <v>45578</v>
      </c>
      <c r="C19950" s="1" t="n">
        <v>45586</v>
      </c>
      <c r="D19950" t="inlineStr">
        <is>
          <t>VÄSTRA GÖTALANDS LÄN</t>
        </is>
      </c>
      <c r="E19950" t="inlineStr">
        <is>
          <t>HERRLJUNGA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45526-2024</t>
        </is>
      </c>
      <c r="B19951" s="1" t="n">
        <v>45579</v>
      </c>
      <c r="C19951" s="1" t="n">
        <v>45586</v>
      </c>
      <c r="D19951" t="inlineStr">
        <is>
          <t>VÄSTRA GÖTALANDS LÄN</t>
        </is>
      </c>
      <c r="E19951" t="inlineStr">
        <is>
          <t>ULRICEHAMN</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45578-2024</t>
        </is>
      </c>
      <c r="B19952" s="1" t="n">
        <v>45578</v>
      </c>
      <c r="C19952" s="1" t="n">
        <v>45586</v>
      </c>
      <c r="D19952" t="inlineStr">
        <is>
          <t>VÄSTRA GÖTALANDS LÄN</t>
        </is>
      </c>
      <c r="E19952" t="inlineStr">
        <is>
          <t>STRÖMSTAD</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45508-2024</t>
        </is>
      </c>
      <c r="B19953" s="1" t="n">
        <v>45578</v>
      </c>
      <c r="C19953" s="1" t="n">
        <v>45586</v>
      </c>
      <c r="D19953" t="inlineStr">
        <is>
          <t>VÄSTRA GÖTALANDS LÄN</t>
        </is>
      </c>
      <c r="E19953" t="inlineStr">
        <is>
          <t>BORÅS</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45529-2024</t>
        </is>
      </c>
      <c r="B19954" s="1" t="n">
        <v>45579</v>
      </c>
      <c r="C19954" s="1" t="n">
        <v>45586</v>
      </c>
      <c r="D19954" t="inlineStr">
        <is>
          <t>VÄSTRA GÖTALANDS LÄN</t>
        </is>
      </c>
      <c r="E19954" t="inlineStr">
        <is>
          <t>ULRICEHAMN</t>
        </is>
      </c>
      <c r="G19954" t="n">
        <v>4.3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45541-2024</t>
        </is>
      </c>
      <c r="B19955" s="1" t="n">
        <v>45579</v>
      </c>
      <c r="C19955" s="1" t="n">
        <v>45586</v>
      </c>
      <c r="D19955" t="inlineStr">
        <is>
          <t>VÄSTRA GÖTALANDS LÄN</t>
        </is>
      </c>
      <c r="E19955" t="inlineStr">
        <is>
          <t>MARK</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45545-2024</t>
        </is>
      </c>
      <c r="B19956" s="1" t="n">
        <v>45579</v>
      </c>
      <c r="C19956" s="1" t="n">
        <v>45586</v>
      </c>
      <c r="D19956" t="inlineStr">
        <is>
          <t>VÄSTRA GÖTALANDS LÄN</t>
        </is>
      </c>
      <c r="E19956" t="inlineStr">
        <is>
          <t>SVENLJUNGA</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45595-2024</t>
        </is>
      </c>
      <c r="B19957" s="1" t="n">
        <v>45579</v>
      </c>
      <c r="C19957" s="1" t="n">
        <v>45586</v>
      </c>
      <c r="D19957" t="inlineStr">
        <is>
          <t>VÄSTRA GÖTALANDS LÄN</t>
        </is>
      </c>
      <c r="E19957" t="inlineStr">
        <is>
          <t>HERRLJUNGA</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45599-2024</t>
        </is>
      </c>
      <c r="B19958" s="1" t="n">
        <v>45579</v>
      </c>
      <c r="C19958" s="1" t="n">
        <v>45586</v>
      </c>
      <c r="D19958" t="inlineStr">
        <is>
          <t>VÄSTRA GÖTALANDS LÄN</t>
        </is>
      </c>
      <c r="E19958" t="inlineStr">
        <is>
          <t>TIBRO</t>
        </is>
      </c>
      <c r="G19958" t="n">
        <v>6.8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45605-2024</t>
        </is>
      </c>
      <c r="B19959" s="1" t="n">
        <v>45579</v>
      </c>
      <c r="C19959" s="1" t="n">
        <v>45586</v>
      </c>
      <c r="D19959" t="inlineStr">
        <is>
          <t>VÄSTRA GÖTALANDS LÄN</t>
        </is>
      </c>
      <c r="E19959" t="inlineStr">
        <is>
          <t>BENGTSFORS</t>
        </is>
      </c>
      <c r="G19959" t="n">
        <v>0.5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45609-2024</t>
        </is>
      </c>
      <c r="B19960" s="1" t="n">
        <v>45579</v>
      </c>
      <c r="C19960" s="1" t="n">
        <v>45586</v>
      </c>
      <c r="D19960" t="inlineStr">
        <is>
          <t>VÄSTRA GÖTALANDS LÄN</t>
        </is>
      </c>
      <c r="E19960" t="inlineStr">
        <is>
          <t>BORÅS</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45613-2024</t>
        </is>
      </c>
      <c r="B19961" s="1" t="n">
        <v>45579</v>
      </c>
      <c r="C19961" s="1" t="n">
        <v>45586</v>
      </c>
      <c r="D19961" t="inlineStr">
        <is>
          <t>VÄSTRA GÖTALANDS LÄN</t>
        </is>
      </c>
      <c r="E19961" t="inlineStr">
        <is>
          <t>BENGTSFORS</t>
        </is>
      </c>
      <c r="G19961" t="n">
        <v>7.9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45617-2024</t>
        </is>
      </c>
      <c r="B19962" s="1" t="n">
        <v>45579</v>
      </c>
      <c r="C19962" s="1" t="n">
        <v>45586</v>
      </c>
      <c r="D19962" t="inlineStr">
        <is>
          <t>VÄSTRA GÖTALANDS LÄN</t>
        </is>
      </c>
      <c r="E19962" t="inlineStr">
        <is>
          <t>STRÖMSTAD</t>
        </is>
      </c>
      <c r="G19962" t="n">
        <v>5.3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45634-2024</t>
        </is>
      </c>
      <c r="B19963" s="1" t="n">
        <v>45579</v>
      </c>
      <c r="C19963" s="1" t="n">
        <v>45586</v>
      </c>
      <c r="D19963" t="inlineStr">
        <is>
          <t>VÄSTRA GÖTALANDS LÄN</t>
        </is>
      </c>
      <c r="E19963" t="inlineStr">
        <is>
          <t>STRÖMSTAD</t>
        </is>
      </c>
      <c r="F19963" t="inlineStr">
        <is>
          <t>Kyrkan</t>
        </is>
      </c>
      <c r="G19963" t="n">
        <v>4.5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45660-2024</t>
        </is>
      </c>
      <c r="B19964" s="1" t="n">
        <v>45579</v>
      </c>
      <c r="C19964" s="1" t="n">
        <v>45586</v>
      </c>
      <c r="D19964" t="inlineStr">
        <is>
          <t>VÄSTRA GÖTALANDS LÄN</t>
        </is>
      </c>
      <c r="E19964" t="inlineStr">
        <is>
          <t>LIDKÖPING</t>
        </is>
      </c>
      <c r="G19964" t="n">
        <v>2.8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45528-2024</t>
        </is>
      </c>
      <c r="B19965" s="1" t="n">
        <v>45579</v>
      </c>
      <c r="C19965" s="1" t="n">
        <v>45586</v>
      </c>
      <c r="D19965" t="inlineStr">
        <is>
          <t>VÄSTRA GÖTALANDS LÄN</t>
        </is>
      </c>
      <c r="E19965" t="inlineStr">
        <is>
          <t>ULRICEHAMN</t>
        </is>
      </c>
      <c r="G19965" t="n">
        <v>2.8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45530-2024</t>
        </is>
      </c>
      <c r="B19966" s="1" t="n">
        <v>45579</v>
      </c>
      <c r="C19966" s="1" t="n">
        <v>45586</v>
      </c>
      <c r="D19966" t="inlineStr">
        <is>
          <t>VÄSTRA GÖTALANDS LÄN</t>
        </is>
      </c>
      <c r="E19966" t="inlineStr">
        <is>
          <t>ULRICEHAMN</t>
        </is>
      </c>
      <c r="G19966" t="n">
        <v>2.6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45588-2024</t>
        </is>
      </c>
      <c r="B19967" s="1" t="n">
        <v>45579</v>
      </c>
      <c r="C19967" s="1" t="n">
        <v>45586</v>
      </c>
      <c r="D19967" t="inlineStr">
        <is>
          <t>VÄSTRA GÖTALANDS LÄN</t>
        </is>
      </c>
      <c r="E19967" t="inlineStr">
        <is>
          <t>DALS-ED</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45677-2024</t>
        </is>
      </c>
      <c r="B19968" s="1" t="n">
        <v>45579</v>
      </c>
      <c r="C19968" s="1" t="n">
        <v>45586</v>
      </c>
      <c r="D19968" t="inlineStr">
        <is>
          <t>VÄSTRA GÖTALANDS LÄN</t>
        </is>
      </c>
      <c r="E19968" t="inlineStr">
        <is>
          <t>VÅRGÅRDA</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45681-2024</t>
        </is>
      </c>
      <c r="B19969" s="1" t="n">
        <v>45579</v>
      </c>
      <c r="C19969" s="1" t="n">
        <v>45586</v>
      </c>
      <c r="D19969" t="inlineStr">
        <is>
          <t>VÄSTRA GÖTALANDS LÄN</t>
        </is>
      </c>
      <c r="E19969" t="inlineStr">
        <is>
          <t>VÅRGÅRDA</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45733-2024</t>
        </is>
      </c>
      <c r="B19970" s="1" t="n">
        <v>45579</v>
      </c>
      <c r="C19970" s="1" t="n">
        <v>45586</v>
      </c>
      <c r="D19970" t="inlineStr">
        <is>
          <t>VÄSTRA GÖTALANDS LÄN</t>
        </is>
      </c>
      <c r="E19970" t="inlineStr">
        <is>
          <t>MELLERUD</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45754-2024</t>
        </is>
      </c>
      <c r="B19971" s="1" t="n">
        <v>45579</v>
      </c>
      <c r="C19971" s="1" t="n">
        <v>45586</v>
      </c>
      <c r="D19971" t="inlineStr">
        <is>
          <t>VÄSTRA GÖTALANDS LÄN</t>
        </is>
      </c>
      <c r="E19971" t="inlineStr">
        <is>
          <t>VÄNERSBORG</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45632-2024</t>
        </is>
      </c>
      <c r="B19972" s="1" t="n">
        <v>45579</v>
      </c>
      <c r="C19972" s="1" t="n">
        <v>45586</v>
      </c>
      <c r="D19972" t="inlineStr">
        <is>
          <t>VÄSTRA GÖTALANDS LÄN</t>
        </is>
      </c>
      <c r="E19972" t="inlineStr">
        <is>
          <t>STRÖMSTAD</t>
        </is>
      </c>
      <c r="F19972" t="inlineStr">
        <is>
          <t>Kyrkan</t>
        </is>
      </c>
      <c r="G19972" t="n">
        <v>9.5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45641-2024</t>
        </is>
      </c>
      <c r="B19973" s="1" t="n">
        <v>45579</v>
      </c>
      <c r="C19973" s="1" t="n">
        <v>45586</v>
      </c>
      <c r="D19973" t="inlineStr">
        <is>
          <t>VÄSTRA GÖTALANDS LÄN</t>
        </is>
      </c>
      <c r="E19973" t="inlineStr">
        <is>
          <t>TIDAHOLM</t>
        </is>
      </c>
      <c r="G19973" t="n">
        <v>1.8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45649-2024</t>
        </is>
      </c>
      <c r="B19974" s="1" t="n">
        <v>45579</v>
      </c>
      <c r="C19974" s="1" t="n">
        <v>45586</v>
      </c>
      <c r="D19974" t="inlineStr">
        <is>
          <t>VÄSTRA GÖTALANDS LÄN</t>
        </is>
      </c>
      <c r="E19974" t="inlineStr">
        <is>
          <t>TÖREBODA</t>
        </is>
      </c>
      <c r="G19974" t="n">
        <v>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45637-2024</t>
        </is>
      </c>
      <c r="B19975" s="1" t="n">
        <v>45579</v>
      </c>
      <c r="C19975" s="1" t="n">
        <v>45586</v>
      </c>
      <c r="D19975" t="inlineStr">
        <is>
          <t>VÄSTRA GÖTALANDS LÄN</t>
        </is>
      </c>
      <c r="E19975" t="inlineStr">
        <is>
          <t>STRÖMSTAD</t>
        </is>
      </c>
      <c r="G19975" t="n">
        <v>7.2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45680-2024</t>
        </is>
      </c>
      <c r="B19976" s="1" t="n">
        <v>45579</v>
      </c>
      <c r="C19976" s="1" t="n">
        <v>45586</v>
      </c>
      <c r="D19976" t="inlineStr">
        <is>
          <t>VÄSTRA GÖTALANDS LÄN</t>
        </is>
      </c>
      <c r="E19976" t="inlineStr">
        <is>
          <t>VÅRGÅRDA</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45744-2024</t>
        </is>
      </c>
      <c r="B19977" s="1" t="n">
        <v>45579</v>
      </c>
      <c r="C19977" s="1" t="n">
        <v>45586</v>
      </c>
      <c r="D19977" t="inlineStr">
        <is>
          <t>VÄSTRA GÖTALANDS LÄN</t>
        </is>
      </c>
      <c r="E19977" t="inlineStr">
        <is>
          <t>TANUM</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45787-2024</t>
        </is>
      </c>
      <c r="B19978" s="1" t="n">
        <v>45579</v>
      </c>
      <c r="C19978" s="1" t="n">
        <v>45586</v>
      </c>
      <c r="D19978" t="inlineStr">
        <is>
          <t>VÄSTRA GÖTALANDS LÄN</t>
        </is>
      </c>
      <c r="E19978" t="inlineStr">
        <is>
          <t>UDDEVALLA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45602-2024</t>
        </is>
      </c>
      <c r="B19979" s="1" t="n">
        <v>45579</v>
      </c>
      <c r="C19979" s="1" t="n">
        <v>45586</v>
      </c>
      <c r="D19979" t="inlineStr">
        <is>
          <t>VÄSTRA GÖTALANDS LÄN</t>
        </is>
      </c>
      <c r="E19979" t="inlineStr">
        <is>
          <t>BENGTSFORS</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45618-2024</t>
        </is>
      </c>
      <c r="B19980" s="1" t="n">
        <v>45579</v>
      </c>
      <c r="C19980" s="1" t="n">
        <v>45586</v>
      </c>
      <c r="D19980" t="inlineStr">
        <is>
          <t>VÄSTRA GÖTALANDS LÄN</t>
        </is>
      </c>
      <c r="E19980" t="inlineStr">
        <is>
          <t>BORÅS</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45710-2024</t>
        </is>
      </c>
      <c r="B19981" s="1" t="n">
        <v>45579</v>
      </c>
      <c r="C19981" s="1" t="n">
        <v>45586</v>
      </c>
      <c r="D19981" t="inlineStr">
        <is>
          <t>VÄSTRA GÖTALANDS LÄN</t>
        </is>
      </c>
      <c r="E19981" t="inlineStr">
        <is>
          <t>FÄRGELANDA</t>
        </is>
      </c>
      <c r="G19981" t="n">
        <v>3.3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45714-2024</t>
        </is>
      </c>
      <c r="B19982" s="1" t="n">
        <v>45579</v>
      </c>
      <c r="C19982" s="1" t="n">
        <v>45586</v>
      </c>
      <c r="D19982" t="inlineStr">
        <is>
          <t>VÄSTRA GÖTALANDS LÄN</t>
        </is>
      </c>
      <c r="E19982" t="inlineStr">
        <is>
          <t>LIDKÖPING</t>
        </is>
      </c>
      <c r="G19982" t="n">
        <v>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45902-2024</t>
        </is>
      </c>
      <c r="B19983" s="1" t="n">
        <v>45580</v>
      </c>
      <c r="C19983" s="1" t="n">
        <v>45586</v>
      </c>
      <c r="D19983" t="inlineStr">
        <is>
          <t>VÄSTRA GÖTALANDS LÄN</t>
        </is>
      </c>
      <c r="E19983" t="inlineStr">
        <is>
          <t>UDDEVALLA</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45978-2024</t>
        </is>
      </c>
      <c r="B19984" s="1" t="n">
        <v>45580</v>
      </c>
      <c r="C19984" s="1" t="n">
        <v>45586</v>
      </c>
      <c r="D19984" t="inlineStr">
        <is>
          <t>VÄSTRA GÖTALANDS LÄN</t>
        </is>
      </c>
      <c r="E19984" t="inlineStr">
        <is>
          <t>TANUM</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45983-2024</t>
        </is>
      </c>
      <c r="B19985" s="1" t="n">
        <v>45580</v>
      </c>
      <c r="C19985" s="1" t="n">
        <v>45586</v>
      </c>
      <c r="D19985" t="inlineStr">
        <is>
          <t>VÄSTRA GÖTALANDS LÄN</t>
        </is>
      </c>
      <c r="E19985" t="inlineStr">
        <is>
          <t>TROLLHÄTTAN</t>
        </is>
      </c>
      <c r="G19985" t="n">
        <v>2.8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45995-2024</t>
        </is>
      </c>
      <c r="B19986" s="1" t="n">
        <v>45580</v>
      </c>
      <c r="C19986" s="1" t="n">
        <v>45586</v>
      </c>
      <c r="D19986" t="inlineStr">
        <is>
          <t>VÄSTRA GÖTALANDS LÄN</t>
        </is>
      </c>
      <c r="E19986" t="inlineStr">
        <is>
          <t>MARK</t>
        </is>
      </c>
      <c r="G19986" t="n">
        <v>0.8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46023-2024</t>
        </is>
      </c>
      <c r="B19987" s="1" t="n">
        <v>45580</v>
      </c>
      <c r="C19987" s="1" t="n">
        <v>45586</v>
      </c>
      <c r="D19987" t="inlineStr">
        <is>
          <t>VÄSTRA GÖTALANDS LÄN</t>
        </is>
      </c>
      <c r="E19987" t="inlineStr">
        <is>
          <t>TIDAHOLM</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46051-2024</t>
        </is>
      </c>
      <c r="B19988" s="1" t="n">
        <v>45580</v>
      </c>
      <c r="C19988" s="1" t="n">
        <v>45586</v>
      </c>
      <c r="D19988" t="inlineStr">
        <is>
          <t>VÄSTRA GÖTALANDS LÄN</t>
        </is>
      </c>
      <c r="E19988" t="inlineStr">
        <is>
          <t>VÄNERSBORG</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45913-2024</t>
        </is>
      </c>
      <c r="B19989" s="1" t="n">
        <v>45580</v>
      </c>
      <c r="C19989" s="1" t="n">
        <v>45586</v>
      </c>
      <c r="D19989" t="inlineStr">
        <is>
          <t>VÄSTRA GÖTALANDS LÄN</t>
        </is>
      </c>
      <c r="E19989" t="inlineStr">
        <is>
          <t>MARK</t>
        </is>
      </c>
      <c r="G19989" t="n">
        <v>2.6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45933-2024</t>
        </is>
      </c>
      <c r="B19990" s="1" t="n">
        <v>45580</v>
      </c>
      <c r="C19990" s="1" t="n">
        <v>45586</v>
      </c>
      <c r="D19990" t="inlineStr">
        <is>
          <t>VÄSTRA GÖTALANDS LÄN</t>
        </is>
      </c>
      <c r="E19990" t="inlineStr">
        <is>
          <t>UDDEVALLA</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45937-2024</t>
        </is>
      </c>
      <c r="B19991" s="1" t="n">
        <v>45580</v>
      </c>
      <c r="C19991" s="1" t="n">
        <v>45586</v>
      </c>
      <c r="D19991" t="inlineStr">
        <is>
          <t>VÄSTRA GÖTALANDS LÄN</t>
        </is>
      </c>
      <c r="E19991" t="inlineStr">
        <is>
          <t>UDDEVALLA</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45969-2024</t>
        </is>
      </c>
      <c r="B19992" s="1" t="n">
        <v>45580</v>
      </c>
      <c r="C19992" s="1" t="n">
        <v>45586</v>
      </c>
      <c r="D19992" t="inlineStr">
        <is>
          <t>VÄSTRA GÖTALANDS LÄN</t>
        </is>
      </c>
      <c r="E19992" t="inlineStr">
        <is>
          <t>MARK</t>
        </is>
      </c>
      <c r="G19992" t="n">
        <v>2.8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46002-2024</t>
        </is>
      </c>
      <c r="B19993" s="1" t="n">
        <v>45580</v>
      </c>
      <c r="C19993" s="1" t="n">
        <v>45586</v>
      </c>
      <c r="D19993" t="inlineStr">
        <is>
          <t>VÄSTRA GÖTALANDS LÄN</t>
        </is>
      </c>
      <c r="E19993" t="inlineStr">
        <is>
          <t>MARK</t>
        </is>
      </c>
      <c r="G19993" t="n">
        <v>3.2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45948-2024</t>
        </is>
      </c>
      <c r="B19994" s="1" t="n">
        <v>45580</v>
      </c>
      <c r="C19994" s="1" t="n">
        <v>45586</v>
      </c>
      <c r="D19994" t="inlineStr">
        <is>
          <t>VÄSTRA GÖTALANDS LÄN</t>
        </is>
      </c>
      <c r="E19994" t="inlineStr">
        <is>
          <t>TANUM</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45952-2024</t>
        </is>
      </c>
      <c r="B19995" s="1" t="n">
        <v>45580</v>
      </c>
      <c r="C19995" s="1" t="n">
        <v>45586</v>
      </c>
      <c r="D19995" t="inlineStr">
        <is>
          <t>VÄSTRA GÖTALANDS LÄN</t>
        </is>
      </c>
      <c r="E19995" t="inlineStr">
        <is>
          <t>TANUM</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46009-2024</t>
        </is>
      </c>
      <c r="B19996" s="1" t="n">
        <v>45580</v>
      </c>
      <c r="C19996" s="1" t="n">
        <v>45586</v>
      </c>
      <c r="D19996" t="inlineStr">
        <is>
          <t>VÄSTRA GÖTALANDS LÄN</t>
        </is>
      </c>
      <c r="E19996" t="inlineStr">
        <is>
          <t>TIDAHOLM</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46037-2024</t>
        </is>
      </c>
      <c r="B19997" s="1" t="n">
        <v>45580</v>
      </c>
      <c r="C19997" s="1" t="n">
        <v>45586</v>
      </c>
      <c r="D19997" t="inlineStr">
        <is>
          <t>VÄSTRA GÖTALANDS LÄN</t>
        </is>
      </c>
      <c r="E19997" t="inlineStr">
        <is>
          <t>TIDAHOLM</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46066-2024</t>
        </is>
      </c>
      <c r="B19998" s="1" t="n">
        <v>45581</v>
      </c>
      <c r="C19998" s="1" t="n">
        <v>45586</v>
      </c>
      <c r="D19998" t="inlineStr">
        <is>
          <t>VÄSTRA GÖTALANDS LÄN</t>
        </is>
      </c>
      <c r="E19998" t="inlineStr">
        <is>
          <t>UDDEVALLA</t>
        </is>
      </c>
      <c r="G19998" t="n">
        <v>2.7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46091-2024</t>
        </is>
      </c>
      <c r="B19999" s="1" t="n">
        <v>45581</v>
      </c>
      <c r="C19999" s="1" t="n">
        <v>45586</v>
      </c>
      <c r="D19999" t="inlineStr">
        <is>
          <t>VÄSTRA GÖTALANDS LÄN</t>
        </is>
      </c>
      <c r="E19999" t="inlineStr">
        <is>
          <t>HERRLJUNGA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46119-2024</t>
        </is>
      </c>
      <c r="B20000" s="1" t="n">
        <v>45581</v>
      </c>
      <c r="C20000" s="1" t="n">
        <v>45586</v>
      </c>
      <c r="D20000" t="inlineStr">
        <is>
          <t>VÄSTRA GÖTALANDS LÄN</t>
        </is>
      </c>
      <c r="E20000" t="inlineStr">
        <is>
          <t>TIDAHOLM</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46083-2024</t>
        </is>
      </c>
      <c r="B20001" s="1" t="n">
        <v>45581</v>
      </c>
      <c r="C20001" s="1" t="n">
        <v>45586</v>
      </c>
      <c r="D20001" t="inlineStr">
        <is>
          <t>VÄSTRA GÖTALANDS LÄN</t>
        </is>
      </c>
      <c r="E20001" t="inlineStr">
        <is>
          <t>MARK</t>
        </is>
      </c>
      <c r="G20001" t="n">
        <v>0.8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46088-2024</t>
        </is>
      </c>
      <c r="B20002" s="1" t="n">
        <v>45581</v>
      </c>
      <c r="C20002" s="1" t="n">
        <v>45586</v>
      </c>
      <c r="D20002" t="inlineStr">
        <is>
          <t>VÄSTRA GÖTALANDS LÄN</t>
        </is>
      </c>
      <c r="E20002" t="inlineStr">
        <is>
          <t>TÖREBODA</t>
        </is>
      </c>
      <c r="F20002" t="inlineStr">
        <is>
          <t>Sveaskog</t>
        </is>
      </c>
      <c r="G20002" t="n">
        <v>1.3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46267-2024</t>
        </is>
      </c>
      <c r="B20003" s="1" t="n">
        <v>45581</v>
      </c>
      <c r="C20003" s="1" t="n">
        <v>45586</v>
      </c>
      <c r="D20003" t="inlineStr">
        <is>
          <t>VÄSTRA GÖTALANDS LÄN</t>
        </is>
      </c>
      <c r="E20003" t="inlineStr">
        <is>
          <t>ORUST</t>
        </is>
      </c>
      <c r="G20003" t="n">
        <v>3.2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46293-2024</t>
        </is>
      </c>
      <c r="B20004" s="1" t="n">
        <v>45581</v>
      </c>
      <c r="C20004" s="1" t="n">
        <v>45586</v>
      </c>
      <c r="D20004" t="inlineStr">
        <is>
          <t>VÄSTRA GÖTALANDS LÄN</t>
        </is>
      </c>
      <c r="E20004" t="inlineStr">
        <is>
          <t>BENGTSFORS</t>
        </is>
      </c>
      <c r="G20004" t="n">
        <v>5.9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46200-2024</t>
        </is>
      </c>
      <c r="B20005" s="1" t="n">
        <v>45581</v>
      </c>
      <c r="C20005" s="1" t="n">
        <v>45586</v>
      </c>
      <c r="D20005" t="inlineStr">
        <is>
          <t>VÄSTRA GÖTALANDS LÄN</t>
        </is>
      </c>
      <c r="E20005" t="inlineStr">
        <is>
          <t>TÖREBODA</t>
        </is>
      </c>
      <c r="G20005" t="n">
        <v>3.2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46086-2024</t>
        </is>
      </c>
      <c r="B20006" s="1" t="n">
        <v>45581</v>
      </c>
      <c r="C20006" s="1" t="n">
        <v>45586</v>
      </c>
      <c r="D20006" t="inlineStr">
        <is>
          <t>VÄSTRA GÖTALANDS LÄN</t>
        </is>
      </c>
      <c r="E20006" t="inlineStr">
        <is>
          <t>TÖREBODA</t>
        </is>
      </c>
      <c r="F20006" t="inlineStr">
        <is>
          <t>Sveaskog</t>
        </is>
      </c>
      <c r="G20006" t="n">
        <v>10.6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46227-2024</t>
        </is>
      </c>
      <c r="B20007" s="1" t="n">
        <v>45581</v>
      </c>
      <c r="C20007" s="1" t="n">
        <v>45586</v>
      </c>
      <c r="D20007" t="inlineStr">
        <is>
          <t>VÄSTRA GÖTALANDS LÄN</t>
        </is>
      </c>
      <c r="E20007" t="inlineStr">
        <is>
          <t>ALINGSÅS</t>
        </is>
      </c>
      <c r="G20007" t="n">
        <v>2.8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46331-2024</t>
        </is>
      </c>
      <c r="B20008" s="1" t="n">
        <v>45581</v>
      </c>
      <c r="C20008" s="1" t="n">
        <v>45586</v>
      </c>
      <c r="D20008" t="inlineStr">
        <is>
          <t>VÄSTRA GÖTALANDS LÄN</t>
        </is>
      </c>
      <c r="E20008" t="inlineStr">
        <is>
          <t>BORÅS</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46113-2024</t>
        </is>
      </c>
      <c r="B20009" s="1" t="n">
        <v>45581</v>
      </c>
      <c r="C20009" s="1" t="n">
        <v>45586</v>
      </c>
      <c r="D20009" t="inlineStr">
        <is>
          <t>VÄSTRA GÖTALANDS LÄN</t>
        </is>
      </c>
      <c r="E20009" t="inlineStr">
        <is>
          <t>TIDAHOLM</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46320-2024</t>
        </is>
      </c>
      <c r="B20010" s="1" t="n">
        <v>45581</v>
      </c>
      <c r="C20010" s="1" t="n">
        <v>45586</v>
      </c>
      <c r="D20010" t="inlineStr">
        <is>
          <t>VÄSTRA GÖTALANDS LÄN</t>
        </is>
      </c>
      <c r="E20010" t="inlineStr">
        <is>
          <t>VÄNERSBORG</t>
        </is>
      </c>
      <c r="G20010" t="n">
        <v>1.9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46339-2024</t>
        </is>
      </c>
      <c r="B20011" s="1" t="n">
        <v>45582</v>
      </c>
      <c r="C20011" s="1" t="n">
        <v>45586</v>
      </c>
      <c r="D20011" t="inlineStr">
        <is>
          <t>VÄSTRA GÖTALANDS LÄN</t>
        </is>
      </c>
      <c r="E20011" t="inlineStr">
        <is>
          <t>HJO</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46345-2024</t>
        </is>
      </c>
      <c r="B20012" s="1" t="n">
        <v>45582</v>
      </c>
      <c r="C20012" s="1" t="n">
        <v>45586</v>
      </c>
      <c r="D20012" t="inlineStr">
        <is>
          <t>VÄSTRA GÖTALANDS LÄN</t>
        </is>
      </c>
      <c r="E20012" t="inlineStr">
        <is>
          <t>ULRICEHAMN</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46373-2024</t>
        </is>
      </c>
      <c r="B20013" s="1" t="n">
        <v>45582</v>
      </c>
      <c r="C20013" s="1" t="n">
        <v>45586</v>
      </c>
      <c r="D20013" t="inlineStr">
        <is>
          <t>VÄSTRA GÖTALANDS LÄN</t>
        </is>
      </c>
      <c r="E20013" t="inlineStr">
        <is>
          <t>BENGTSFORS</t>
        </is>
      </c>
      <c r="G20013" t="n">
        <v>5.5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46340-2024</t>
        </is>
      </c>
      <c r="B20014" s="1" t="n">
        <v>45582</v>
      </c>
      <c r="C20014" s="1" t="n">
        <v>45586</v>
      </c>
      <c r="D20014" t="inlineStr">
        <is>
          <t>VÄSTRA GÖTALANDS LÄN</t>
        </is>
      </c>
      <c r="E20014" t="inlineStr">
        <is>
          <t>HJO</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46360-2024</t>
        </is>
      </c>
      <c r="B20015" s="1" t="n">
        <v>45582</v>
      </c>
      <c r="C20015" s="1" t="n">
        <v>45586</v>
      </c>
      <c r="D20015" t="inlineStr">
        <is>
          <t>VÄSTRA GÖTALANDS LÄN</t>
        </is>
      </c>
      <c r="E20015" t="inlineStr">
        <is>
          <t>TANUM</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46364-2024</t>
        </is>
      </c>
      <c r="B20016" s="1" t="n">
        <v>45582</v>
      </c>
      <c r="C20016" s="1" t="n">
        <v>45586</v>
      </c>
      <c r="D20016" t="inlineStr">
        <is>
          <t>VÄSTRA GÖTALANDS LÄN</t>
        </is>
      </c>
      <c r="E20016" t="inlineStr">
        <is>
          <t>TROLLHÄTTAN</t>
        </is>
      </c>
      <c r="G20016" t="n">
        <v>1.4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46419-2024</t>
        </is>
      </c>
      <c r="B20017" s="1" t="n">
        <v>45582</v>
      </c>
      <c r="C20017" s="1" t="n">
        <v>45586</v>
      </c>
      <c r="D20017" t="inlineStr">
        <is>
          <t>VÄSTRA GÖTALANDS LÄN</t>
        </is>
      </c>
      <c r="E20017" t="inlineStr">
        <is>
          <t>TRANEMO</t>
        </is>
      </c>
      <c r="G20017" t="n">
        <v>10.5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46446-2024</t>
        </is>
      </c>
      <c r="B20018" s="1" t="n">
        <v>45582</v>
      </c>
      <c r="C20018" s="1" t="n">
        <v>45586</v>
      </c>
      <c r="D20018" t="inlineStr">
        <is>
          <t>VÄSTRA GÖTALANDS LÄN</t>
        </is>
      </c>
      <c r="E20018" t="inlineStr">
        <is>
          <t>VARA</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46458-2024</t>
        </is>
      </c>
      <c r="B20019" s="1" t="n">
        <v>45582</v>
      </c>
      <c r="C20019" s="1" t="n">
        <v>45586</v>
      </c>
      <c r="D20019" t="inlineStr">
        <is>
          <t>VÄSTRA GÖTALANDS LÄN</t>
        </is>
      </c>
      <c r="E20019" t="inlineStr">
        <is>
          <t>FALKÖPING</t>
        </is>
      </c>
      <c r="G20019" t="n">
        <v>4.7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46490-2024</t>
        </is>
      </c>
      <c r="B20020" s="1" t="n">
        <v>45582</v>
      </c>
      <c r="C20020" s="1" t="n">
        <v>45586</v>
      </c>
      <c r="D20020" t="inlineStr">
        <is>
          <t>VÄSTRA GÖTALANDS LÄN</t>
        </is>
      </c>
      <c r="E20020" t="inlineStr">
        <is>
          <t>DALS-ED</t>
        </is>
      </c>
      <c r="G20020" t="n">
        <v>1.5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46510-2024</t>
        </is>
      </c>
      <c r="B20021" s="1" t="n">
        <v>45582</v>
      </c>
      <c r="C20021" s="1" t="n">
        <v>45586</v>
      </c>
      <c r="D20021" t="inlineStr">
        <is>
          <t>VÄSTRA GÖTALANDS LÄN</t>
        </is>
      </c>
      <c r="E20021" t="inlineStr">
        <is>
          <t>STRÖMSTAD</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46514-2024</t>
        </is>
      </c>
      <c r="B20022" s="1" t="n">
        <v>45582</v>
      </c>
      <c r="C20022" s="1" t="n">
        <v>45586</v>
      </c>
      <c r="D20022" t="inlineStr">
        <is>
          <t>VÄSTRA GÖTALANDS LÄN</t>
        </is>
      </c>
      <c r="E20022" t="inlineStr">
        <is>
          <t>VÄNERSBORG</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46518-2024</t>
        </is>
      </c>
      <c r="B20023" s="1" t="n">
        <v>45582</v>
      </c>
      <c r="C20023" s="1" t="n">
        <v>45586</v>
      </c>
      <c r="D20023" t="inlineStr">
        <is>
          <t>VÄSTRA GÖTALANDS LÄN</t>
        </is>
      </c>
      <c r="E20023" t="inlineStr">
        <is>
          <t>ÅMÅL</t>
        </is>
      </c>
      <c r="G20023" t="n">
        <v>5.2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46534-2024</t>
        </is>
      </c>
      <c r="B20024" s="1" t="n">
        <v>45582</v>
      </c>
      <c r="C20024" s="1" t="n">
        <v>45586</v>
      </c>
      <c r="D20024" t="inlineStr">
        <is>
          <t>VÄSTRA GÖTALANDS LÄN</t>
        </is>
      </c>
      <c r="E20024" t="inlineStr">
        <is>
          <t>FÄRGELANDA</t>
        </is>
      </c>
      <c r="G20024" t="n">
        <v>4.2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46579-2024</t>
        </is>
      </c>
      <c r="B20025" s="1" t="n">
        <v>45582</v>
      </c>
      <c r="C20025" s="1" t="n">
        <v>45586</v>
      </c>
      <c r="D20025" t="inlineStr">
        <is>
          <t>VÄSTRA GÖTALANDS LÄN</t>
        </is>
      </c>
      <c r="E20025" t="inlineStr">
        <is>
          <t>SOTENÄS</t>
        </is>
      </c>
      <c r="G20025" t="n">
        <v>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46587-2024</t>
        </is>
      </c>
      <c r="B20026" s="1" t="n">
        <v>45582</v>
      </c>
      <c r="C20026" s="1" t="n">
        <v>45586</v>
      </c>
      <c r="D20026" t="inlineStr">
        <is>
          <t>VÄSTRA GÖTALANDS LÄN</t>
        </is>
      </c>
      <c r="E20026" t="inlineStr">
        <is>
          <t>SOTENÄS</t>
        </is>
      </c>
      <c r="G20026" t="n">
        <v>2.8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46338-2024</t>
        </is>
      </c>
      <c r="B20027" s="1" t="n">
        <v>45582</v>
      </c>
      <c r="C20027" s="1" t="n">
        <v>45586</v>
      </c>
      <c r="D20027" t="inlineStr">
        <is>
          <t>VÄSTRA GÖTALANDS LÄN</t>
        </is>
      </c>
      <c r="E20027" t="inlineStr">
        <is>
          <t>HJO</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46342-2024</t>
        </is>
      </c>
      <c r="B20028" s="1" t="n">
        <v>45582</v>
      </c>
      <c r="C20028" s="1" t="n">
        <v>45586</v>
      </c>
      <c r="D20028" t="inlineStr">
        <is>
          <t>VÄSTRA GÖTALANDS LÄN</t>
        </is>
      </c>
      <c r="E20028" t="inlineStr">
        <is>
          <t>HJO</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46418-2024</t>
        </is>
      </c>
      <c r="B20029" s="1" t="n">
        <v>45582</v>
      </c>
      <c r="C20029" s="1" t="n">
        <v>45586</v>
      </c>
      <c r="D20029" t="inlineStr">
        <is>
          <t>VÄSTRA GÖTALANDS LÄN</t>
        </is>
      </c>
      <c r="E20029" t="inlineStr">
        <is>
          <t>MUNKEDAL</t>
        </is>
      </c>
      <c r="G20029" t="n">
        <v>1.3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46427-2024</t>
        </is>
      </c>
      <c r="B20030" s="1" t="n">
        <v>45582</v>
      </c>
      <c r="C20030" s="1" t="n">
        <v>45586</v>
      </c>
      <c r="D20030" t="inlineStr">
        <is>
          <t>VÄSTRA GÖTALANDS LÄN</t>
        </is>
      </c>
      <c r="E20030" t="inlineStr">
        <is>
          <t>TRANEMO</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46440-2024</t>
        </is>
      </c>
      <c r="B20031" s="1" t="n">
        <v>45582</v>
      </c>
      <c r="C20031" s="1" t="n">
        <v>45586</v>
      </c>
      <c r="D20031" t="inlineStr">
        <is>
          <t>VÄSTRA GÖTALANDS LÄN</t>
        </is>
      </c>
      <c r="E20031" t="inlineStr">
        <is>
          <t>MUNKEDAL</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46453-2024</t>
        </is>
      </c>
      <c r="B20032" s="1" t="n">
        <v>45582</v>
      </c>
      <c r="C20032" s="1" t="n">
        <v>45586</v>
      </c>
      <c r="D20032" t="inlineStr">
        <is>
          <t>VÄSTRA GÖTALANDS LÄN</t>
        </is>
      </c>
      <c r="E20032" t="inlineStr">
        <is>
          <t>BORÅS</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46493-2024</t>
        </is>
      </c>
      <c r="B20033" s="1" t="n">
        <v>45582</v>
      </c>
      <c r="C20033" s="1" t="n">
        <v>45586</v>
      </c>
      <c r="D20033" t="inlineStr">
        <is>
          <t>VÄSTRA GÖTALANDS LÄN</t>
        </is>
      </c>
      <c r="E20033" t="inlineStr">
        <is>
          <t>DALS-ED</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46505-2024</t>
        </is>
      </c>
      <c r="B20034" s="1" t="n">
        <v>45582</v>
      </c>
      <c r="C20034" s="1" t="n">
        <v>45586</v>
      </c>
      <c r="D20034" t="inlineStr">
        <is>
          <t>VÄSTRA GÖTALANDS LÄN</t>
        </is>
      </c>
      <c r="E20034" t="inlineStr">
        <is>
          <t>ULRICEHAMN</t>
        </is>
      </c>
      <c r="G20034" t="n">
        <v>4.8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46517-2024</t>
        </is>
      </c>
      <c r="B20035" s="1" t="n">
        <v>45582</v>
      </c>
      <c r="C20035" s="1" t="n">
        <v>45586</v>
      </c>
      <c r="D20035" t="inlineStr">
        <is>
          <t>VÄSTRA GÖTALANDS LÄN</t>
        </is>
      </c>
      <c r="E20035" t="inlineStr">
        <is>
          <t>VÄNERSBORG</t>
        </is>
      </c>
      <c r="G20035" t="n">
        <v>4.6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46521-2024</t>
        </is>
      </c>
      <c r="B20036" s="1" t="n">
        <v>45582</v>
      </c>
      <c r="C20036" s="1" t="n">
        <v>45586</v>
      </c>
      <c r="D20036" t="inlineStr">
        <is>
          <t>VÄSTRA GÖTALANDS LÄN</t>
        </is>
      </c>
      <c r="E20036" t="inlineStr">
        <is>
          <t>VÄNERSBORG</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46529-2024</t>
        </is>
      </c>
      <c r="B20037" s="1" t="n">
        <v>45582</v>
      </c>
      <c r="C20037" s="1" t="n">
        <v>45586</v>
      </c>
      <c r="D20037" t="inlineStr">
        <is>
          <t>VÄSTRA GÖTALANDS LÄN</t>
        </is>
      </c>
      <c r="E20037" t="inlineStr">
        <is>
          <t>TROLLHÄTTAN</t>
        </is>
      </c>
      <c r="G20037" t="n">
        <v>11.7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46533-2024</t>
        </is>
      </c>
      <c r="B20038" s="1" t="n">
        <v>45582</v>
      </c>
      <c r="C20038" s="1" t="n">
        <v>45586</v>
      </c>
      <c r="D20038" t="inlineStr">
        <is>
          <t>VÄSTRA GÖTALANDS LÄN</t>
        </is>
      </c>
      <c r="E20038" t="inlineStr">
        <is>
          <t>TROLLHÄTTAN</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46561-2024</t>
        </is>
      </c>
      <c r="B20039" s="1" t="n">
        <v>45582</v>
      </c>
      <c r="C20039" s="1" t="n">
        <v>45586</v>
      </c>
      <c r="D20039" t="inlineStr">
        <is>
          <t>VÄSTRA GÖTALANDS LÄN</t>
        </is>
      </c>
      <c r="E20039" t="inlineStr">
        <is>
          <t>LILLA EDET</t>
        </is>
      </c>
      <c r="G20039" t="n">
        <v>12.2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46421-2024</t>
        </is>
      </c>
      <c r="B20040" s="1" t="n">
        <v>45582</v>
      </c>
      <c r="C20040" s="1" t="n">
        <v>45586</v>
      </c>
      <c r="D20040" t="inlineStr">
        <is>
          <t>VÄSTRA GÖTALANDS LÄN</t>
        </is>
      </c>
      <c r="E20040" t="inlineStr">
        <is>
          <t>TRANEMO</t>
        </is>
      </c>
      <c r="G20040" t="n">
        <v>10.3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46439-2024</t>
        </is>
      </c>
      <c r="B20041" s="1" t="n">
        <v>45582</v>
      </c>
      <c r="C20041" s="1" t="n">
        <v>45586</v>
      </c>
      <c r="D20041" t="inlineStr">
        <is>
          <t>VÄSTRA GÖTALANDS LÄN</t>
        </is>
      </c>
      <c r="E20041" t="inlineStr">
        <is>
          <t>BORÅS</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46520-2024</t>
        </is>
      </c>
      <c r="B20042" s="1" t="n">
        <v>45582</v>
      </c>
      <c r="C20042" s="1" t="n">
        <v>45586</v>
      </c>
      <c r="D20042" t="inlineStr">
        <is>
          <t>VÄSTRA GÖTALANDS LÄN</t>
        </is>
      </c>
      <c r="E20042" t="inlineStr">
        <is>
          <t>VÄNERSBORG</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46532-2024</t>
        </is>
      </c>
      <c r="B20043" s="1" t="n">
        <v>45582</v>
      </c>
      <c r="C20043" s="1" t="n">
        <v>45586</v>
      </c>
      <c r="D20043" t="inlineStr">
        <is>
          <t>VÄSTRA GÖTALANDS LÄN</t>
        </is>
      </c>
      <c r="E20043" t="inlineStr">
        <is>
          <t>STRÖMSTAD</t>
        </is>
      </c>
      <c r="G20043" t="n">
        <v>4.3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46544-2024</t>
        </is>
      </c>
      <c r="B20044" s="1" t="n">
        <v>45582</v>
      </c>
      <c r="C20044" s="1" t="n">
        <v>45586</v>
      </c>
      <c r="D20044" t="inlineStr">
        <is>
          <t>VÄSTRA GÖTALANDS LÄN</t>
        </is>
      </c>
      <c r="E20044" t="inlineStr">
        <is>
          <t>SKARA</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46420-2024</t>
        </is>
      </c>
      <c r="B20045" s="1" t="n">
        <v>45582</v>
      </c>
      <c r="C20045" s="1" t="n">
        <v>45586</v>
      </c>
      <c r="D20045" t="inlineStr">
        <is>
          <t>VÄSTRA GÖTALANDS LÄN</t>
        </is>
      </c>
      <c r="E20045" t="inlineStr">
        <is>
          <t>BORÅS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46430-2024</t>
        </is>
      </c>
      <c r="B20046" s="1" t="n">
        <v>45582</v>
      </c>
      <c r="C20046" s="1" t="n">
        <v>45586</v>
      </c>
      <c r="D20046" t="inlineStr">
        <is>
          <t>VÄSTRA GÖTALANDS LÄN</t>
        </is>
      </c>
      <c r="E20046" t="inlineStr">
        <is>
          <t>ULRICEHAMN</t>
        </is>
      </c>
      <c r="G20046" t="n">
        <v>3.3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46434-2024</t>
        </is>
      </c>
      <c r="B20047" s="1" t="n">
        <v>45582</v>
      </c>
      <c r="C20047" s="1" t="n">
        <v>45586</v>
      </c>
      <c r="D20047" t="inlineStr">
        <is>
          <t>VÄSTRA GÖTALANDS LÄN</t>
        </is>
      </c>
      <c r="E20047" t="inlineStr">
        <is>
          <t>MUNKEDAL</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46442-2024</t>
        </is>
      </c>
      <c r="B20048" s="1" t="n">
        <v>45582</v>
      </c>
      <c r="C20048" s="1" t="n">
        <v>45586</v>
      </c>
      <c r="D20048" t="inlineStr">
        <is>
          <t>VÄSTRA GÖTALANDS LÄN</t>
        </is>
      </c>
      <c r="E20048" t="inlineStr">
        <is>
          <t>BORÅS</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46451-2024</t>
        </is>
      </c>
      <c r="B20049" s="1" t="n">
        <v>45582</v>
      </c>
      <c r="C20049" s="1" t="n">
        <v>45586</v>
      </c>
      <c r="D20049" t="inlineStr">
        <is>
          <t>VÄSTRA GÖTALANDS LÄN</t>
        </is>
      </c>
      <c r="E20049" t="inlineStr">
        <is>
          <t>BORÅS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46515-2024</t>
        </is>
      </c>
      <c r="B20050" s="1" t="n">
        <v>45582</v>
      </c>
      <c r="C20050" s="1" t="n">
        <v>45586</v>
      </c>
      <c r="D20050" t="inlineStr">
        <is>
          <t>VÄSTRA GÖTALANDS LÄN</t>
        </is>
      </c>
      <c r="E20050" t="inlineStr">
        <is>
          <t>VÄNERSBORG</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46519-2024</t>
        </is>
      </c>
      <c r="B20051" s="1" t="n">
        <v>45582</v>
      </c>
      <c r="C20051" s="1" t="n">
        <v>45586</v>
      </c>
      <c r="D20051" t="inlineStr">
        <is>
          <t>VÄSTRA GÖTALANDS LÄN</t>
        </is>
      </c>
      <c r="E20051" t="inlineStr">
        <is>
          <t>VÄNERSBORG</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46523-2024</t>
        </is>
      </c>
      <c r="B20052" s="1" t="n">
        <v>45582</v>
      </c>
      <c r="C20052" s="1" t="n">
        <v>45586</v>
      </c>
      <c r="D20052" t="inlineStr">
        <is>
          <t>VÄSTRA GÖTALANDS LÄN</t>
        </is>
      </c>
      <c r="E20052" t="inlineStr">
        <is>
          <t>VÄNERSBORG</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46543-2024</t>
        </is>
      </c>
      <c r="B20053" s="1" t="n">
        <v>45582</v>
      </c>
      <c r="C20053" s="1" t="n">
        <v>45586</v>
      </c>
      <c r="D20053" t="inlineStr">
        <is>
          <t>VÄSTRA GÖTALANDS LÄN</t>
        </is>
      </c>
      <c r="E20053" t="inlineStr">
        <is>
          <t>HERRLJUNGA</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46588-2024</t>
        </is>
      </c>
      <c r="B20054" s="1" t="n">
        <v>45582</v>
      </c>
      <c r="C20054" s="1" t="n">
        <v>45586</v>
      </c>
      <c r="D20054" t="inlineStr">
        <is>
          <t>VÄSTRA GÖTALANDS LÄN</t>
        </is>
      </c>
      <c r="E20054" t="inlineStr">
        <is>
          <t>SOTENÄS</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46612-2024</t>
        </is>
      </c>
      <c r="B20055" s="1" t="n">
        <v>45583</v>
      </c>
      <c r="C20055" s="1" t="n">
        <v>45586</v>
      </c>
      <c r="D20055" t="inlineStr">
        <is>
          <t>VÄSTRA GÖTALANDS LÄN</t>
        </is>
      </c>
      <c r="E20055" t="inlineStr">
        <is>
          <t>HERRLJUNGA</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46654-2024</t>
        </is>
      </c>
      <c r="B20056" s="1" t="n">
        <v>45583</v>
      </c>
      <c r="C20056" s="1" t="n">
        <v>45586</v>
      </c>
      <c r="D20056" t="inlineStr">
        <is>
          <t>VÄSTRA GÖTALANDS LÄN</t>
        </is>
      </c>
      <c r="E20056" t="inlineStr">
        <is>
          <t>FALKÖPING</t>
        </is>
      </c>
      <c r="G20056" t="n">
        <v>6.5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46747-2024</t>
        </is>
      </c>
      <c r="B20057" s="1" t="n">
        <v>45583</v>
      </c>
      <c r="C20057" s="1" t="n">
        <v>45586</v>
      </c>
      <c r="D20057" t="inlineStr">
        <is>
          <t>VÄSTRA GÖTALANDS LÄN</t>
        </is>
      </c>
      <c r="E20057" t="inlineStr">
        <is>
          <t>TROLLHÄTTAN</t>
        </is>
      </c>
      <c r="G20057" t="n">
        <v>3.6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46611-2024</t>
        </is>
      </c>
      <c r="B20058" s="1" t="n">
        <v>45583</v>
      </c>
      <c r="C20058" s="1" t="n">
        <v>45586</v>
      </c>
      <c r="D20058" t="inlineStr">
        <is>
          <t>VÄSTRA GÖTALANDS LÄN</t>
        </is>
      </c>
      <c r="E20058" t="inlineStr">
        <is>
          <t>HERRLJUNGA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46711-2024</t>
        </is>
      </c>
      <c r="B20059" s="1" t="n">
        <v>45583</v>
      </c>
      <c r="C20059" s="1" t="n">
        <v>45586</v>
      </c>
      <c r="D20059" t="inlineStr">
        <is>
          <t>VÄSTRA GÖTALANDS LÄN</t>
        </is>
      </c>
      <c r="E20059" t="inlineStr">
        <is>
          <t>HERRLJUNGA</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46778-2024</t>
        </is>
      </c>
      <c r="B20060" s="1" t="n">
        <v>45583</v>
      </c>
      <c r="C20060" s="1" t="n">
        <v>45586</v>
      </c>
      <c r="D20060" t="inlineStr">
        <is>
          <t>VÄSTRA GÖTALANDS LÄN</t>
        </is>
      </c>
      <c r="E20060" t="inlineStr">
        <is>
          <t>BORÅS</t>
        </is>
      </c>
      <c r="G20060" t="n">
        <v>1.7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46803-2024</t>
        </is>
      </c>
      <c r="B20061" s="1" t="n">
        <v>45583</v>
      </c>
      <c r="C20061" s="1" t="n">
        <v>45586</v>
      </c>
      <c r="D20061" t="inlineStr">
        <is>
          <t>VÄSTRA GÖTALANDS LÄN</t>
        </is>
      </c>
      <c r="E20061" t="inlineStr">
        <is>
          <t>BOLLEBYGD</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46847-2024</t>
        </is>
      </c>
      <c r="B20062" s="1" t="n">
        <v>45583</v>
      </c>
      <c r="C20062" s="1" t="n">
        <v>45586</v>
      </c>
      <c r="D20062" t="inlineStr">
        <is>
          <t>VÄSTRA GÖTALANDS LÄN</t>
        </is>
      </c>
      <c r="E20062" t="inlineStr">
        <is>
          <t>LIDKÖPING</t>
        </is>
      </c>
      <c r="G20062" t="n">
        <v>5.5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46871-2024</t>
        </is>
      </c>
      <c r="B20063" s="1" t="n">
        <v>45583</v>
      </c>
      <c r="C20063" s="1" t="n">
        <v>45586</v>
      </c>
      <c r="D20063" t="inlineStr">
        <is>
          <t>VÄSTRA GÖTALANDS LÄN</t>
        </is>
      </c>
      <c r="E20063" t="inlineStr">
        <is>
          <t>LERUM</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46899-2024</t>
        </is>
      </c>
      <c r="B20064" s="1" t="n">
        <v>45583</v>
      </c>
      <c r="C20064" s="1" t="n">
        <v>45586</v>
      </c>
      <c r="D20064" t="inlineStr">
        <is>
          <t>VÄSTRA GÖTALANDS LÄN</t>
        </is>
      </c>
      <c r="E20064" t="inlineStr">
        <is>
          <t>UDDEVALLA</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46797-2024</t>
        </is>
      </c>
      <c r="B20065" s="1" t="n">
        <v>45583</v>
      </c>
      <c r="C20065" s="1" t="n">
        <v>45586</v>
      </c>
      <c r="D20065" t="inlineStr">
        <is>
          <t>VÄSTRA GÖTALANDS LÄN</t>
        </is>
      </c>
      <c r="E20065" t="inlineStr">
        <is>
          <t>ALE</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46617-2024</t>
        </is>
      </c>
      <c r="B20066" s="1" t="n">
        <v>45583</v>
      </c>
      <c r="C20066" s="1" t="n">
        <v>45586</v>
      </c>
      <c r="D20066" t="inlineStr">
        <is>
          <t>VÄSTRA GÖTALANDS LÄN</t>
        </is>
      </c>
      <c r="E20066" t="inlineStr">
        <is>
          <t>DALS-ED</t>
        </is>
      </c>
      <c r="F20066" t="inlineStr">
        <is>
          <t>Övriga Aktiebolag</t>
        </is>
      </c>
      <c r="G20066" t="n">
        <v>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46738-2024</t>
        </is>
      </c>
      <c r="B20067" s="1" t="n">
        <v>45583</v>
      </c>
      <c r="C20067" s="1" t="n">
        <v>45586</v>
      </c>
      <c r="D20067" t="inlineStr">
        <is>
          <t>VÄSTRA GÖTALANDS LÄN</t>
        </is>
      </c>
      <c r="E20067" t="inlineStr">
        <is>
          <t>HERRLJUNGA</t>
        </is>
      </c>
      <c r="G20067" t="n">
        <v>4.3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46904-2024</t>
        </is>
      </c>
      <c r="B20068" s="1" t="n">
        <v>45583</v>
      </c>
      <c r="C20068" s="1" t="n">
        <v>45586</v>
      </c>
      <c r="D20068" t="inlineStr">
        <is>
          <t>VÄSTRA GÖTALANDS LÄN</t>
        </is>
      </c>
      <c r="E20068" t="inlineStr">
        <is>
          <t>KARLSBORG</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46916-2024</t>
        </is>
      </c>
      <c r="B20069" s="1" t="n">
        <v>45583</v>
      </c>
      <c r="C20069" s="1" t="n">
        <v>45586</v>
      </c>
      <c r="D20069" t="inlineStr">
        <is>
          <t>VÄSTRA GÖTALANDS LÄN</t>
        </is>
      </c>
      <c r="E20069" t="inlineStr">
        <is>
          <t>BENGTSFORS</t>
        </is>
      </c>
      <c r="G20069" t="n">
        <v>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46897-2024</t>
        </is>
      </c>
      <c r="B20070" s="1" t="n">
        <v>45583</v>
      </c>
      <c r="C20070" s="1" t="n">
        <v>45586</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46936-2024</t>
        </is>
      </c>
      <c r="B20071" s="1" t="n">
        <v>45585</v>
      </c>
      <c r="C20071" s="1" t="n">
        <v>45586</v>
      </c>
      <c r="D20071" t="inlineStr">
        <is>
          <t>VÄSTRA GÖTALANDS LÄN</t>
        </is>
      </c>
      <c r="E20071" t="inlineStr">
        <is>
          <t>SVENLJUNGA</t>
        </is>
      </c>
      <c r="G20071" t="n">
        <v>10.1</v>
      </c>
      <c r="H20071" t="n">
        <v>0</v>
      </c>
      <c r="I20071" t="n">
        <v>0</v>
      </c>
      <c r="J20071" t="n">
        <v>0</v>
      </c>
      <c r="K20071" t="n">
        <v>0</v>
      </c>
      <c r="L20071" t="n">
        <v>0</v>
      </c>
      <c r="M20071" t="n">
        <v>0</v>
      </c>
      <c r="N20071" t="n">
        <v>0</v>
      </c>
      <c r="O20071" t="n">
        <v>0</v>
      </c>
      <c r="P20071" t="n">
        <v>0</v>
      </c>
      <c r="Q20071" t="n">
        <v>0</v>
      </c>
      <c r="R20071" s="2" t="inlineStr"/>
    </row>
    <row r="20072">
      <c r="A20072" t="inlineStr">
        <is>
          <t>A 46947-2024</t>
        </is>
      </c>
      <c r="B20072" s="1" t="n">
        <v>45585</v>
      </c>
      <c r="C20072" s="1" t="n">
        <v>45586</v>
      </c>
      <c r="D20072" t="inlineStr">
        <is>
          <t>VÄSTRA GÖTALANDS LÄN</t>
        </is>
      </c>
      <c r="E20072" t="inlineStr">
        <is>
          <t>ULRICEHAMN</t>
        </is>
      </c>
      <c r="G20072" t="n">
        <v>0.7</v>
      </c>
      <c r="H20072" t="n">
        <v>0</v>
      </c>
      <c r="I20072" t="n">
        <v>0</v>
      </c>
      <c r="J20072" t="n">
        <v>0</v>
      </c>
      <c r="K20072" t="n">
        <v>0</v>
      </c>
      <c r="L20072" t="n">
        <v>0</v>
      </c>
      <c r="M20072" t="n">
        <v>0</v>
      </c>
      <c r="N20072" t="n">
        <v>0</v>
      </c>
      <c r="O20072" t="n">
        <v>0</v>
      </c>
      <c r="P20072" t="n">
        <v>0</v>
      </c>
      <c r="Q20072" t="n">
        <v>0</v>
      </c>
      <c r="R20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2024-10-21T12:53:07Z</dcterms:created>
  <dcterms:modified xmlns:dcterms="http://purl.org/dc/terms/" xmlns:xsi="http://www.w3.org/2001/XMLSchema-instance" xsi:type="dcterms:W3CDTF">2024-10-21T12:53:24Z</dcterms:modified>
</cp:coreProperties>
</file>